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285" windowWidth="16845" windowHeight="7530" activeTab="4"/>
  </bookViews>
  <sheets>
    <sheet name="Survivors" sheetId="2" r:id="rId1"/>
    <sheet name="Comparison1" sheetId="4" r:id="rId2"/>
    <sheet name="Comparison2" sheetId="1" r:id="rId3"/>
    <sheet name="Math" sheetId="3" r:id="rId4"/>
    <sheet name="Notes" sheetId="5" r:id="rId5"/>
  </sheets>
  <calcPr calcId="145621"/>
</workbook>
</file>

<file path=xl/calcChain.xml><?xml version="1.0" encoding="utf-8"?>
<calcChain xmlns="http://schemas.openxmlformats.org/spreadsheetml/2006/main">
  <c r="B13" i="3" l="1"/>
  <c r="D13" i="3" s="1"/>
  <c r="B15" i="2"/>
  <c r="D15" i="2" s="1"/>
  <c r="B35" i="2"/>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I11" i="4"/>
  <c r="F6" i="4"/>
  <c r="I13" i="4" s="1"/>
  <c r="E6" i="4"/>
  <c r="J18" i="4"/>
  <c r="J19" i="4"/>
  <c r="J20" i="4"/>
  <c r="J21" i="4"/>
  <c r="J22" i="4"/>
  <c r="J23" i="4"/>
  <c r="J24" i="4"/>
  <c r="J25" i="4"/>
  <c r="J26" i="4"/>
  <c r="J27" i="4"/>
  <c r="J28" i="4"/>
  <c r="J29" i="4"/>
  <c r="J30" i="4"/>
  <c r="J31" i="4"/>
  <c r="J32" i="4"/>
  <c r="J33" i="4"/>
  <c r="J34" i="4"/>
  <c r="J35" i="4"/>
  <c r="J36" i="4"/>
  <c r="J37" i="4"/>
  <c r="J38" i="4"/>
  <c r="J39" i="4"/>
  <c r="J40" i="4"/>
  <c r="J41" i="4"/>
  <c r="J42" i="4"/>
  <c r="J43" i="4"/>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C13" i="3"/>
  <c r="E4" i="3"/>
  <c r="C4" i="3"/>
  <c r="B4" i="3"/>
  <c r="D4" i="3" s="1"/>
  <c r="E19" i="2"/>
  <c r="C19" i="2"/>
  <c r="I7" i="1"/>
  <c r="P12" i="1"/>
  <c r="R12" i="1" s="1"/>
  <c r="S12" i="1" s="1"/>
  <c r="I5" i="1"/>
  <c r="I6" i="1"/>
  <c r="I12" i="1" s="1"/>
  <c r="G6" i="1"/>
  <c r="J17" i="1"/>
  <c r="J18" i="1"/>
  <c r="J19" i="1"/>
  <c r="J20" i="1"/>
  <c r="J21" i="1"/>
  <c r="J22" i="1"/>
  <c r="J23" i="1"/>
  <c r="J24" i="1"/>
  <c r="J25" i="1"/>
  <c r="J26" i="1"/>
  <c r="J27" i="1"/>
  <c r="J28" i="1"/>
  <c r="J29" i="1"/>
  <c r="J30" i="1"/>
  <c r="J31" i="1"/>
  <c r="J32" i="1"/>
  <c r="J33" i="1"/>
  <c r="J34" i="1"/>
  <c r="J35" i="1"/>
  <c r="J36" i="1"/>
  <c r="J37" i="1"/>
  <c r="J38" i="1"/>
  <c r="J39" i="1"/>
  <c r="J40" i="1"/>
  <c r="J41" i="1"/>
  <c r="J42" i="1"/>
  <c r="D5" i="2"/>
  <c r="D6" i="2" s="1"/>
  <c r="I10" i="1"/>
  <c r="Q17" i="1"/>
  <c r="Q18" i="1"/>
  <c r="Q19" i="1"/>
  <c r="Q20" i="1"/>
  <c r="Q21" i="1"/>
  <c r="P10" i="1"/>
  <c r="C10" i="1"/>
  <c r="E5" i="2"/>
  <c r="E6" i="2" s="1"/>
  <c r="C5" i="2"/>
  <c r="A5" i="4" s="1"/>
  <c r="C11" i="4" s="1"/>
  <c r="C6" i="2"/>
  <c r="P13" i="1"/>
  <c r="R13" i="1" s="1"/>
  <c r="S13" i="1" s="1"/>
  <c r="G7" i="1" l="1"/>
  <c r="Q22" i="1" s="1"/>
  <c r="Q23" i="1" s="1"/>
  <c r="Q24" i="1" s="1"/>
  <c r="Q25" i="1" s="1"/>
  <c r="Q26" i="1" s="1"/>
  <c r="Q27" i="1" s="1"/>
  <c r="Q28" i="1" s="1"/>
  <c r="Q29" i="1" s="1"/>
  <c r="Q30" i="1" s="1"/>
  <c r="Q31" i="1" s="1"/>
  <c r="Q32" i="1" s="1"/>
  <c r="Q33" i="1" s="1"/>
  <c r="Q34" i="1" s="1"/>
  <c r="Q35" i="1" s="1"/>
  <c r="Q36" i="1" s="1"/>
  <c r="Q37" i="1" s="1"/>
  <c r="Q38" i="1" s="1"/>
  <c r="Q39" i="1" s="1"/>
  <c r="Q40" i="1" s="1"/>
  <c r="Q41" i="1" s="1"/>
  <c r="Q42" i="1" s="1"/>
  <c r="C9" i="2"/>
  <c r="D9" i="2" s="1"/>
  <c r="E5" i="4" s="1"/>
  <c r="D16" i="4" s="1"/>
  <c r="P14" i="1"/>
  <c r="R14" i="1" s="1"/>
  <c r="S14" i="1" s="1"/>
  <c r="T14" i="1" s="1"/>
  <c r="E15" i="2"/>
  <c r="B16" i="2" s="1"/>
  <c r="C6" i="3"/>
  <c r="F6" i="3" s="1"/>
  <c r="C22" i="2"/>
  <c r="F22" i="2" s="1"/>
  <c r="I13" i="1"/>
  <c r="K12" i="1"/>
  <c r="L12" i="1" s="1"/>
  <c r="T13" i="1"/>
  <c r="T12" i="1"/>
  <c r="K13" i="4"/>
  <c r="L13" i="4" s="1"/>
  <c r="I14" i="4"/>
  <c r="P15" i="1"/>
  <c r="G5" i="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B19" i="2"/>
  <c r="D19" i="2" s="1"/>
  <c r="F19" i="2" s="1"/>
  <c r="D23" i="4"/>
  <c r="D24" i="4" s="1"/>
  <c r="D25" i="4" s="1"/>
  <c r="D26" i="4" s="1"/>
  <c r="D27" i="4" s="1"/>
  <c r="D28" i="4" s="1"/>
  <c r="D29" i="4" s="1"/>
  <c r="D30" i="4" s="1"/>
  <c r="D31" i="4" s="1"/>
  <c r="D32" i="4" s="1"/>
  <c r="D33" i="4" s="1"/>
  <c r="D34" i="4" s="1"/>
  <c r="D35" i="4" s="1"/>
  <c r="D36" i="4" s="1"/>
  <c r="D37" i="4" s="1"/>
  <c r="D38" i="4" s="1"/>
  <c r="D39" i="4" s="1"/>
  <c r="D40" i="4" s="1"/>
  <c r="D41" i="4" s="1"/>
  <c r="D42" i="4" s="1"/>
  <c r="D43" i="4" s="1"/>
  <c r="D19" i="4"/>
  <c r="B18" i="2"/>
  <c r="F4" i="3"/>
  <c r="F8" i="3" l="1"/>
  <c r="F9" i="3" s="1"/>
  <c r="F10" i="3" s="1"/>
  <c r="J5" i="1" s="1"/>
  <c r="C12" i="1" s="1"/>
  <c r="C13" i="1" s="1"/>
  <c r="C14" i="1" s="1"/>
  <c r="C15" i="1" s="1"/>
  <c r="C16" i="1" s="1"/>
  <c r="F25" i="2"/>
  <c r="F26" i="2" s="1"/>
  <c r="F27" i="2" s="1"/>
  <c r="F29" i="2" s="1"/>
  <c r="D15" i="4"/>
  <c r="D20" i="4"/>
  <c r="D22" i="4"/>
  <c r="D14" i="4"/>
  <c r="D21" i="4"/>
  <c r="D13" i="4"/>
  <c r="D17" i="4"/>
  <c r="D18" i="4"/>
  <c r="M13" i="4"/>
  <c r="I14" i="1"/>
  <c r="K13" i="1"/>
  <c r="L13" i="1" s="1"/>
  <c r="P16" i="1"/>
  <c r="R16" i="1" s="1"/>
  <c r="S16" i="1" s="1"/>
  <c r="R15" i="1"/>
  <c r="S15" i="1" s="1"/>
  <c r="K14" i="4"/>
  <c r="L14" i="4" s="1"/>
  <c r="I15" i="4"/>
  <c r="M12" i="1"/>
  <c r="M13" i="1"/>
  <c r="G6" i="4"/>
  <c r="B15" i="3"/>
  <c r="D15" i="3" s="1"/>
  <c r="D17" i="3" s="1"/>
  <c r="D19" i="3" s="1"/>
  <c r="K7" i="1" s="1"/>
  <c r="B6" i="3"/>
  <c r="D6" i="3" s="1"/>
  <c r="D8" i="3" s="1"/>
  <c r="D9" i="3" s="1"/>
  <c r="D10" i="3" s="1"/>
  <c r="K5" i="1" s="1"/>
  <c r="N5" i="1" s="1"/>
  <c r="B22" i="2"/>
  <c r="D22" i="2" s="1"/>
  <c r="D25" i="2" s="1"/>
  <c r="D26" i="2" s="1"/>
  <c r="D27" i="2" s="1"/>
  <c r="J7" i="1"/>
  <c r="J6" i="1"/>
  <c r="F5" i="4" l="1"/>
  <c r="E12" i="1"/>
  <c r="E13" i="1" s="1"/>
  <c r="F13" i="1" s="1"/>
  <c r="G5" i="4"/>
  <c r="C20" i="4" s="1"/>
  <c r="D29" i="2"/>
  <c r="N7" i="1"/>
  <c r="P22" i="1"/>
  <c r="P23" i="1" s="1"/>
  <c r="P24" i="1" s="1"/>
  <c r="P25" i="1" s="1"/>
  <c r="P26" i="1" s="1"/>
  <c r="P27" i="1" s="1"/>
  <c r="P28" i="1" s="1"/>
  <c r="P29" i="1" s="1"/>
  <c r="P30" i="1" s="1"/>
  <c r="P31" i="1" s="1"/>
  <c r="P32" i="1" s="1"/>
  <c r="P33" i="1" s="1"/>
  <c r="P34" i="1" s="1"/>
  <c r="P35" i="1" s="1"/>
  <c r="P36" i="1" s="1"/>
  <c r="P37" i="1" s="1"/>
  <c r="P38" i="1" s="1"/>
  <c r="P39" i="1" s="1"/>
  <c r="P40" i="1" s="1"/>
  <c r="P41" i="1" s="1"/>
  <c r="P42" i="1" s="1"/>
  <c r="M7" i="1"/>
  <c r="R22" i="1" s="1"/>
  <c r="M5" i="1"/>
  <c r="E17" i="1" s="1"/>
  <c r="I17" i="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K6" i="1"/>
  <c r="N6" i="1" s="1"/>
  <c r="M6" i="1"/>
  <c r="K17" i="1" s="1"/>
  <c r="P17" i="1"/>
  <c r="K6" i="4"/>
  <c r="J6" i="4"/>
  <c r="K18" i="4" s="1"/>
  <c r="I18" i="4"/>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C17" i="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I16" i="4"/>
  <c r="K15" i="4"/>
  <c r="L15" i="4" s="1"/>
  <c r="M14" i="4"/>
  <c r="I15" i="1"/>
  <c r="K14" i="1"/>
  <c r="L14" i="1" s="1"/>
  <c r="T16" i="1"/>
  <c r="T15" i="1"/>
  <c r="F12" i="1"/>
  <c r="G12" i="1" s="1"/>
  <c r="C13" i="4"/>
  <c r="I5" i="4"/>
  <c r="C16" i="4"/>
  <c r="C15" i="4"/>
  <c r="C17" i="4"/>
  <c r="C14" i="4"/>
  <c r="E14" i="1"/>
  <c r="J5" i="4" l="1"/>
  <c r="E34" i="4" s="1"/>
  <c r="F34" i="4" s="1"/>
  <c r="C18" i="4"/>
  <c r="C19" i="4"/>
  <c r="C21" i="4"/>
  <c r="C22" i="4"/>
  <c r="C23" i="4"/>
  <c r="C24" i="4" s="1"/>
  <c r="C25" i="4" s="1"/>
  <c r="C26" i="4" s="1"/>
  <c r="C27" i="4" s="1"/>
  <c r="C28" i="4" s="1"/>
  <c r="C29" i="4" s="1"/>
  <c r="C30" i="4" s="1"/>
  <c r="C31" i="4" s="1"/>
  <c r="C32" i="4" s="1"/>
  <c r="C33" i="4" s="1"/>
  <c r="C34" i="4" s="1"/>
  <c r="C35" i="4" s="1"/>
  <c r="C36" i="4" s="1"/>
  <c r="C37" i="4" s="1"/>
  <c r="C38" i="4" s="1"/>
  <c r="C39" i="4" s="1"/>
  <c r="C40" i="4" s="1"/>
  <c r="C41" i="4" s="1"/>
  <c r="C42" i="4" s="1"/>
  <c r="C43" i="4" s="1"/>
  <c r="K5" i="4"/>
  <c r="K15" i="1"/>
  <c r="L15" i="1" s="1"/>
  <c r="M15" i="1" s="1"/>
  <c r="I16" i="1"/>
  <c r="K16" i="1" s="1"/>
  <c r="L16" i="1" s="1"/>
  <c r="M15" i="4"/>
  <c r="P18" i="1"/>
  <c r="R17" i="1"/>
  <c r="S17" i="1" s="1"/>
  <c r="E18" i="1"/>
  <c r="F17" i="1"/>
  <c r="K18" i="1"/>
  <c r="L17" i="1"/>
  <c r="M17" i="1" s="1"/>
  <c r="R23" i="1"/>
  <c r="S22" i="1"/>
  <c r="M14" i="1"/>
  <c r="K16" i="4"/>
  <c r="L16" i="4" s="1"/>
  <c r="M16" i="4" s="1"/>
  <c r="I17" i="4"/>
  <c r="K17" i="4" s="1"/>
  <c r="L17" i="4" s="1"/>
  <c r="L18" i="4"/>
  <c r="K19" i="4"/>
  <c r="E35" i="4"/>
  <c r="F35" i="4" s="1"/>
  <c r="N12" i="1"/>
  <c r="U12" i="1"/>
  <c r="E14" i="4"/>
  <c r="F14" i="4" s="1"/>
  <c r="E16" i="4"/>
  <c r="F16" i="4" s="1"/>
  <c r="E17" i="4"/>
  <c r="F17" i="4" s="1"/>
  <c r="E15" i="4"/>
  <c r="F15" i="4" s="1"/>
  <c r="E13" i="4"/>
  <c r="F13" i="4" s="1"/>
  <c r="G13" i="1"/>
  <c r="E15" i="1"/>
  <c r="F14" i="1"/>
  <c r="E33" i="4" l="1"/>
  <c r="F33" i="4" s="1"/>
  <c r="E42" i="4"/>
  <c r="F42" i="4" s="1"/>
  <c r="E18" i="4"/>
  <c r="F18" i="4" s="1"/>
  <c r="E29" i="4"/>
  <c r="F29" i="4" s="1"/>
  <c r="E24" i="4"/>
  <c r="F24" i="4" s="1"/>
  <c r="E41" i="4"/>
  <c r="F41" i="4" s="1"/>
  <c r="E26" i="4"/>
  <c r="F26" i="4" s="1"/>
  <c r="E40" i="4"/>
  <c r="F40" i="4" s="1"/>
  <c r="E28" i="4"/>
  <c r="F28" i="4" s="1"/>
  <c r="E39" i="4"/>
  <c r="F39" i="4" s="1"/>
  <c r="E21" i="4"/>
  <c r="F21" i="4" s="1"/>
  <c r="E36" i="4"/>
  <c r="F36" i="4" s="1"/>
  <c r="E20" i="4"/>
  <c r="F20" i="4" s="1"/>
  <c r="E19" i="4"/>
  <c r="F19" i="4" s="1"/>
  <c r="E37" i="4"/>
  <c r="F37" i="4" s="1"/>
  <c r="E22" i="4"/>
  <c r="F22" i="4" s="1"/>
  <c r="E30" i="4"/>
  <c r="F30" i="4" s="1"/>
  <c r="E32" i="4"/>
  <c r="F32" i="4" s="1"/>
  <c r="E43" i="4"/>
  <c r="F43" i="4" s="1"/>
  <c r="E38" i="4"/>
  <c r="F38" i="4" s="1"/>
  <c r="E25" i="4"/>
  <c r="F25" i="4" s="1"/>
  <c r="E23" i="4"/>
  <c r="F23" i="4" s="1"/>
  <c r="E31" i="4"/>
  <c r="F31" i="4" s="1"/>
  <c r="E27" i="4"/>
  <c r="F27" i="4" s="1"/>
  <c r="M16" i="1"/>
  <c r="M17" i="4"/>
  <c r="E19" i="1"/>
  <c r="F18" i="1"/>
  <c r="K19" i="1"/>
  <c r="L18" i="1"/>
  <c r="M18" i="1" s="1"/>
  <c r="T17" i="1"/>
  <c r="T18" i="1"/>
  <c r="L19" i="4"/>
  <c r="K20" i="4"/>
  <c r="R18" i="1"/>
  <c r="S18" i="1" s="1"/>
  <c r="P19" i="1"/>
  <c r="M18" i="4"/>
  <c r="R24" i="1"/>
  <c r="S23" i="1"/>
  <c r="F15" i="1"/>
  <c r="E16" i="1"/>
  <c r="F16" i="1" s="1"/>
  <c r="N13" i="1"/>
  <c r="U13" i="1"/>
  <c r="G14" i="1"/>
  <c r="G13" i="4"/>
  <c r="N13" i="4" s="1"/>
  <c r="G16" i="4"/>
  <c r="N16" i="4" s="1"/>
  <c r="G14" i="4"/>
  <c r="N14" i="4" s="1"/>
  <c r="G15" i="4"/>
  <c r="N15" i="4" s="1"/>
  <c r="G18" i="4"/>
  <c r="G17" i="4"/>
  <c r="N17" i="4" s="1"/>
  <c r="E9" i="4" s="1"/>
  <c r="G38" i="4" l="1"/>
  <c r="G43" i="4"/>
  <c r="G31" i="4"/>
  <c r="G33" i="4"/>
  <c r="G20" i="4"/>
  <c r="G42" i="4"/>
  <c r="G23" i="4"/>
  <c r="G29" i="4"/>
  <c r="G21" i="4"/>
  <c r="G27" i="4"/>
  <c r="G39" i="4"/>
  <c r="G34" i="4"/>
  <c r="G35" i="4"/>
  <c r="G37" i="4"/>
  <c r="G36" i="4"/>
  <c r="G25" i="4"/>
  <c r="G24" i="4"/>
  <c r="G40" i="4"/>
  <c r="G26" i="4"/>
  <c r="G30" i="4"/>
  <c r="G19" i="4"/>
  <c r="G41" i="4"/>
  <c r="G22" i="4"/>
  <c r="G28" i="4"/>
  <c r="G32" i="4"/>
  <c r="G17" i="1"/>
  <c r="U17" i="1" s="1"/>
  <c r="M19" i="4"/>
  <c r="R19" i="1"/>
  <c r="S19" i="1" s="1"/>
  <c r="P20" i="1"/>
  <c r="K20" i="1"/>
  <c r="L19" i="1"/>
  <c r="N18" i="4"/>
  <c r="S24" i="1"/>
  <c r="R25" i="1"/>
  <c r="L20" i="4"/>
  <c r="M20" i="4" s="1"/>
  <c r="K21" i="4"/>
  <c r="F19" i="1"/>
  <c r="E20" i="1"/>
  <c r="N14" i="1"/>
  <c r="U14" i="1"/>
  <c r="G18" i="1"/>
  <c r="G16" i="1"/>
  <c r="G15" i="1"/>
  <c r="N20" i="4" l="1"/>
  <c r="N19" i="4"/>
  <c r="N17" i="1"/>
  <c r="S25" i="1"/>
  <c r="R26" i="1"/>
  <c r="E21" i="1"/>
  <c r="F20" i="1"/>
  <c r="G20" i="1" s="1"/>
  <c r="T19" i="1"/>
  <c r="L20" i="1"/>
  <c r="M20" i="1" s="1"/>
  <c r="K21" i="1"/>
  <c r="L21" i="4"/>
  <c r="M21" i="4" s="1"/>
  <c r="N21" i="4" s="1"/>
  <c r="K22" i="4"/>
  <c r="M19" i="1"/>
  <c r="G19" i="1"/>
  <c r="U19" i="1" s="1"/>
  <c r="R20" i="1"/>
  <c r="S20" i="1" s="1"/>
  <c r="P21" i="1"/>
  <c r="R21" i="1" s="1"/>
  <c r="S21" i="1" s="1"/>
  <c r="N16" i="1"/>
  <c r="U16" i="1"/>
  <c r="N18" i="1"/>
  <c r="U18" i="1"/>
  <c r="U15" i="1"/>
  <c r="N15" i="1"/>
  <c r="T21" i="1" l="1"/>
  <c r="N19" i="1"/>
  <c r="N20" i="1"/>
  <c r="T24" i="1"/>
  <c r="E22" i="1"/>
  <c r="F21" i="1"/>
  <c r="G21" i="1" s="1"/>
  <c r="L21" i="1"/>
  <c r="K22" i="1"/>
  <c r="T20" i="1"/>
  <c r="U20" i="1" s="1"/>
  <c r="S26" i="1"/>
  <c r="T26" i="1" s="1"/>
  <c r="R27" i="1"/>
  <c r="T23" i="1"/>
  <c r="M21" i="1"/>
  <c r="T25" i="1"/>
  <c r="L22" i="4"/>
  <c r="M22" i="4" s="1"/>
  <c r="N22" i="4" s="1"/>
  <c r="F9" i="4" s="1"/>
  <c r="K23" i="4"/>
  <c r="T22" i="1"/>
  <c r="K24" i="4" l="1"/>
  <c r="L23" i="4"/>
  <c r="M23" i="4" s="1"/>
  <c r="N23" i="4" s="1"/>
  <c r="N21" i="1"/>
  <c r="U21" i="1"/>
  <c r="K23" i="1"/>
  <c r="L22" i="1"/>
  <c r="M22" i="1" s="1"/>
  <c r="F22" i="1"/>
  <c r="G22" i="1" s="1"/>
  <c r="U22" i="1" s="1"/>
  <c r="E23" i="1"/>
  <c r="R28" i="1"/>
  <c r="S27" i="1"/>
  <c r="T27" i="1" s="1"/>
  <c r="N22" i="1" l="1"/>
  <c r="R29" i="1"/>
  <c r="S28" i="1"/>
  <c r="T28" i="1" s="1"/>
  <c r="L23" i="1"/>
  <c r="K24" i="1"/>
  <c r="F23" i="1"/>
  <c r="G23" i="1" s="1"/>
  <c r="E24" i="1"/>
  <c r="L24" i="4"/>
  <c r="K25" i="4"/>
  <c r="E25" i="1" l="1"/>
  <c r="F24" i="1"/>
  <c r="G24" i="1" s="1"/>
  <c r="K26" i="4"/>
  <c r="L25" i="4"/>
  <c r="U23" i="1"/>
  <c r="S29" i="1"/>
  <c r="T29" i="1" s="1"/>
  <c r="R30" i="1"/>
  <c r="M25" i="4"/>
  <c r="N25" i="4" s="1"/>
  <c r="L24" i="1"/>
  <c r="M24" i="1" s="1"/>
  <c r="K25" i="1"/>
  <c r="M24" i="4"/>
  <c r="N24" i="4" s="1"/>
  <c r="M23" i="1"/>
  <c r="N23" i="1" s="1"/>
  <c r="U24" i="1" l="1"/>
  <c r="N24" i="1"/>
  <c r="S30" i="1"/>
  <c r="T30" i="1" s="1"/>
  <c r="R31" i="1"/>
  <c r="K26" i="1"/>
  <c r="L25" i="1"/>
  <c r="M25" i="1" s="1"/>
  <c r="L26" i="4"/>
  <c r="M26" i="4" s="1"/>
  <c r="N26" i="4" s="1"/>
  <c r="K27" i="4"/>
  <c r="E26" i="1"/>
  <c r="F25" i="1"/>
  <c r="G25" i="1" s="1"/>
  <c r="F26" i="1" l="1"/>
  <c r="G26" i="1" s="1"/>
  <c r="E27" i="1"/>
  <c r="K28" i="4"/>
  <c r="L27" i="4"/>
  <c r="M27" i="4" s="1"/>
  <c r="N27" i="4" s="1"/>
  <c r="G9" i="4" s="1"/>
  <c r="R32" i="1"/>
  <c r="S31" i="1"/>
  <c r="T31" i="1" s="1"/>
  <c r="N25" i="1"/>
  <c r="U25" i="1"/>
  <c r="L26" i="1"/>
  <c r="M26" i="1" s="1"/>
  <c r="K27" i="1"/>
  <c r="L27" i="1" l="1"/>
  <c r="M27" i="1" s="1"/>
  <c r="K28" i="1"/>
  <c r="F27" i="1"/>
  <c r="G27" i="1" s="1"/>
  <c r="E28" i="1"/>
  <c r="K29" i="4"/>
  <c r="L28" i="4"/>
  <c r="M28" i="4" s="1"/>
  <c r="N28" i="4" s="1"/>
  <c r="S32" i="1"/>
  <c r="T32" i="1" s="1"/>
  <c r="R33" i="1"/>
  <c r="U26" i="1"/>
  <c r="N26" i="1"/>
  <c r="S33" i="1" l="1"/>
  <c r="T33" i="1" s="1"/>
  <c r="R34" i="1"/>
  <c r="E29" i="1"/>
  <c r="F28" i="1"/>
  <c r="G28" i="1" s="1"/>
  <c r="N27" i="1"/>
  <c r="U27" i="1"/>
  <c r="K29" i="1"/>
  <c r="L28" i="1"/>
  <c r="M28" i="1" s="1"/>
  <c r="K30" i="4"/>
  <c r="L29" i="4"/>
  <c r="M29" i="4" s="1"/>
  <c r="N29" i="4" s="1"/>
  <c r="L29" i="1" l="1"/>
  <c r="M29" i="1" s="1"/>
  <c r="K30" i="1"/>
  <c r="F29" i="1"/>
  <c r="G29" i="1" s="1"/>
  <c r="E30" i="1"/>
  <c r="K31" i="4"/>
  <c r="L30" i="4"/>
  <c r="M30" i="4" s="1"/>
  <c r="N30" i="4" s="1"/>
  <c r="N28" i="1"/>
  <c r="U28" i="1"/>
  <c r="R35" i="1"/>
  <c r="S34" i="1"/>
  <c r="T34" i="1" s="1"/>
  <c r="F30" i="1" l="1"/>
  <c r="G30" i="1" s="1"/>
  <c r="E31" i="1"/>
  <c r="N29" i="1"/>
  <c r="U29" i="1"/>
  <c r="K31" i="1"/>
  <c r="L30" i="1"/>
  <c r="M30" i="1" s="1"/>
  <c r="R36" i="1"/>
  <c r="S35" i="1"/>
  <c r="T35" i="1" s="1"/>
  <c r="K32" i="4"/>
  <c r="L31" i="4"/>
  <c r="M31" i="4" s="1"/>
  <c r="N31" i="4" s="1"/>
  <c r="R37" i="1" l="1"/>
  <c r="S36" i="1"/>
  <c r="T36" i="1" s="1"/>
  <c r="F31" i="1"/>
  <c r="G31" i="1" s="1"/>
  <c r="E32" i="1"/>
  <c r="L32" i="4"/>
  <c r="M32" i="4" s="1"/>
  <c r="N32" i="4" s="1"/>
  <c r="K33" i="4"/>
  <c r="L31" i="1"/>
  <c r="M31" i="1" s="1"/>
  <c r="K32" i="1"/>
  <c r="N30" i="1"/>
  <c r="U30" i="1"/>
  <c r="K33" i="1" l="1"/>
  <c r="L32" i="1"/>
  <c r="M32" i="1" s="1"/>
  <c r="E33" i="1"/>
  <c r="F32" i="1"/>
  <c r="G32" i="1" s="1"/>
  <c r="U31" i="1"/>
  <c r="N31" i="1"/>
  <c r="K34" i="4"/>
  <c r="L33" i="4"/>
  <c r="M33" i="4" s="1"/>
  <c r="N33" i="4" s="1"/>
  <c r="I9" i="4" s="1"/>
  <c r="S37" i="1"/>
  <c r="T37" i="1" s="1"/>
  <c r="R38" i="1"/>
  <c r="N32" i="1" l="1"/>
  <c r="U32" i="1"/>
  <c r="K35" i="4"/>
  <c r="L34" i="4"/>
  <c r="M34" i="4" s="1"/>
  <c r="N34" i="4" s="1"/>
  <c r="E34" i="1"/>
  <c r="F33" i="1"/>
  <c r="G33" i="1" s="1"/>
  <c r="S38" i="1"/>
  <c r="T38" i="1" s="1"/>
  <c r="R39" i="1"/>
  <c r="L33" i="1"/>
  <c r="M33" i="1" s="1"/>
  <c r="K34" i="1"/>
  <c r="S39" i="1" l="1"/>
  <c r="T39" i="1" s="1"/>
  <c r="R40" i="1"/>
  <c r="K36" i="4"/>
  <c r="L35" i="4"/>
  <c r="M35" i="4" s="1"/>
  <c r="N35" i="4" s="1"/>
  <c r="K35" i="1"/>
  <c r="L34" i="1"/>
  <c r="M34" i="1" s="1"/>
  <c r="U33" i="1"/>
  <c r="N33" i="1"/>
  <c r="F34" i="1"/>
  <c r="G34" i="1" s="1"/>
  <c r="E35" i="1"/>
  <c r="L36" i="4" l="1"/>
  <c r="M36" i="4" s="1"/>
  <c r="N36" i="4" s="1"/>
  <c r="K37" i="4"/>
  <c r="E36" i="1"/>
  <c r="F35" i="1"/>
  <c r="G35" i="1" s="1"/>
  <c r="S40" i="1"/>
  <c r="T40" i="1" s="1"/>
  <c r="R41" i="1"/>
  <c r="N34" i="1"/>
  <c r="U34" i="1"/>
  <c r="L35" i="1"/>
  <c r="M35" i="1" s="1"/>
  <c r="K36" i="1"/>
  <c r="U35" i="1" l="1"/>
  <c r="N35" i="1"/>
  <c r="E37" i="1"/>
  <c r="F36" i="1"/>
  <c r="G36" i="1" s="1"/>
  <c r="K37" i="1"/>
  <c r="L36" i="1"/>
  <c r="M36" i="1" s="1"/>
  <c r="R42" i="1"/>
  <c r="S42" i="1" s="1"/>
  <c r="S41" i="1"/>
  <c r="L37" i="4"/>
  <c r="M37" i="4" s="1"/>
  <c r="N37" i="4" s="1"/>
  <c r="J9" i="4" s="1"/>
  <c r="K38" i="4"/>
  <c r="T41" i="1" l="1"/>
  <c r="T42" i="1"/>
  <c r="N36" i="1"/>
  <c r="U36" i="1"/>
  <c r="F37" i="1"/>
  <c r="G37" i="1" s="1"/>
  <c r="E38" i="1"/>
  <c r="K39" i="4"/>
  <c r="L38" i="4"/>
  <c r="M38" i="4" s="1"/>
  <c r="N38" i="4" s="1"/>
  <c r="L37" i="1"/>
  <c r="M37" i="1" s="1"/>
  <c r="K38" i="1"/>
  <c r="K40" i="4" l="1"/>
  <c r="L39" i="4"/>
  <c r="M39" i="4" s="1"/>
  <c r="N39" i="4" s="1"/>
  <c r="L38" i="1"/>
  <c r="M38" i="1" s="1"/>
  <c r="K39" i="1"/>
  <c r="F38" i="1"/>
  <c r="G38" i="1" s="1"/>
  <c r="E39" i="1"/>
  <c r="U37" i="1"/>
  <c r="N37" i="1"/>
  <c r="L39" i="1" l="1"/>
  <c r="M39" i="1" s="1"/>
  <c r="K40" i="1"/>
  <c r="F39" i="1"/>
  <c r="G39" i="1" s="1"/>
  <c r="E40" i="1"/>
  <c r="U38" i="1"/>
  <c r="N38" i="1"/>
  <c r="L40" i="4"/>
  <c r="M40" i="4" s="1"/>
  <c r="N40" i="4" s="1"/>
  <c r="K41" i="4"/>
  <c r="K42" i="4" l="1"/>
  <c r="L41" i="4"/>
  <c r="M41" i="4" s="1"/>
  <c r="N41" i="4" s="1"/>
  <c r="E41" i="1"/>
  <c r="F40" i="1"/>
  <c r="G40" i="1" s="1"/>
  <c r="K41" i="1"/>
  <c r="L40" i="1"/>
  <c r="M40" i="1" s="1"/>
  <c r="U39" i="1"/>
  <c r="N39" i="1"/>
  <c r="L41" i="1" l="1"/>
  <c r="M41" i="1" s="1"/>
  <c r="K42" i="1"/>
  <c r="L42" i="1" s="1"/>
  <c r="U40" i="1"/>
  <c r="N40" i="1"/>
  <c r="L42" i="4"/>
  <c r="M42" i="4" s="1"/>
  <c r="N42" i="4" s="1"/>
  <c r="K9" i="4" s="1"/>
  <c r="K43" i="4"/>
  <c r="L43" i="4" s="1"/>
  <c r="F41" i="1"/>
  <c r="G41" i="1" s="1"/>
  <c r="E42" i="1"/>
  <c r="F42" i="1" s="1"/>
  <c r="G42" i="1" s="1"/>
  <c r="U42" i="1" l="1"/>
  <c r="U41" i="1"/>
  <c r="N41" i="1"/>
  <c r="M43" i="4"/>
  <c r="N43" i="4" s="1"/>
  <c r="M42" i="1"/>
  <c r="N42" i="1" s="1"/>
</calcChain>
</file>

<file path=xl/comments1.xml><?xml version="1.0" encoding="utf-8"?>
<comments xmlns="http://schemas.openxmlformats.org/spreadsheetml/2006/main">
  <authors>
    <author>Alan Madill</author>
  </authors>
  <commentList>
    <comment ref="C15" authorId="0">
      <text>
        <r>
          <rPr>
            <b/>
            <sz val="9"/>
            <color indexed="81"/>
            <rFont val="Tahoma"/>
            <family val="2"/>
          </rPr>
          <t>Alan Madill:</t>
        </r>
        <r>
          <rPr>
            <sz val="9"/>
            <color indexed="81"/>
            <rFont val="Tahoma"/>
            <family val="2"/>
          </rPr>
          <t xml:space="preserve">
This changes along with the maximum. Search the Internet for the current value. 2019 - 193.66</t>
        </r>
      </text>
    </comment>
  </commentList>
</comments>
</file>

<file path=xl/sharedStrings.xml><?xml version="1.0" encoding="utf-8"?>
<sst xmlns="http://schemas.openxmlformats.org/spreadsheetml/2006/main" count="147" uniqueCount="89">
  <si>
    <t>Year</t>
  </si>
  <si>
    <t>Age</t>
  </si>
  <si>
    <t>Survivors</t>
  </si>
  <si>
    <t>Difference</t>
  </si>
  <si>
    <t>Benefit</t>
  </si>
  <si>
    <t>At age 65 (60% of pension)</t>
  </si>
  <si>
    <t>http://retirehappy.ca/cpp-survivor-benefits/</t>
  </si>
  <si>
    <t xml:space="preserve">Option A </t>
  </si>
  <si>
    <t>Age 65 Max</t>
  </si>
  <si>
    <t>http://www.servicecanada.gc.ca/eng/services/pensions/cpp/publications/changes.shtml</t>
  </si>
  <si>
    <t>Unadjusted</t>
  </si>
  <si>
    <t>Option B</t>
  </si>
  <si>
    <t>Base to 65</t>
  </si>
  <si>
    <t>Lesser of option A and B</t>
  </si>
  <si>
    <t>Max D B @ 65</t>
  </si>
  <si>
    <t>To age 65</t>
  </si>
  <si>
    <t>65 and later</t>
  </si>
  <si>
    <t>Special Adjustment</t>
  </si>
  <si>
    <t>Net Survivors</t>
  </si>
  <si>
    <t>Combined CPP and Survivors Benefit Calculator</t>
  </si>
  <si>
    <t>Date that you wish to take CPP</t>
  </si>
  <si>
    <t>Date</t>
  </si>
  <si>
    <t>Age/Year</t>
  </si>
  <si>
    <t xml:space="preserve">Birthdate </t>
  </si>
  <si>
    <t>Early Reduction</t>
  </si>
  <si>
    <t>Late Increase</t>
  </si>
  <si>
    <t>Current survivors benefit (assumes you are &lt; 65)</t>
  </si>
  <si>
    <t>Adjustment</t>
  </si>
  <si>
    <t>Net Benefit</t>
  </si>
  <si>
    <t>Survivor benefit</t>
  </si>
  <si>
    <t>Pension Portion</t>
  </si>
  <si>
    <t>Flatrate Portion</t>
  </si>
  <si>
    <t>Actual Pension</t>
  </si>
  <si>
    <t>Senario</t>
  </si>
  <si>
    <t>CPP</t>
  </si>
  <si>
    <t>Survivors Pension</t>
  </si>
  <si>
    <t>Total post</t>
  </si>
  <si>
    <t>Total</t>
  </si>
  <si>
    <t>Yearly</t>
  </si>
  <si>
    <t>Cumulative</t>
  </si>
  <si>
    <t>Combined Benefit</t>
  </si>
  <si>
    <t>Reduction @ 65</t>
  </si>
  <si>
    <t>Reduction to 65</t>
  </si>
  <si>
    <t>Pension @ 60 with CPP contributions to 60</t>
  </si>
  <si>
    <t>Pension @ 65 with CPP contributions to 65</t>
  </si>
  <si>
    <t>Pension @ 70 with CPP contributions to 70</t>
  </si>
  <si>
    <t>Adjusted to age 60</t>
  </si>
  <si>
    <t>Adjusted to age 70</t>
  </si>
  <si>
    <t>Comparison at Age 60, 65, and 70</t>
  </si>
  <si>
    <t>Math for Comparison Sheet 2</t>
  </si>
  <si>
    <t>Reduction @ 70</t>
  </si>
  <si>
    <t>Max D B @ 70</t>
  </si>
  <si>
    <t>70 and later</t>
  </si>
  <si>
    <t>/wo Cap</t>
  </si>
  <si>
    <t>Comparison at Selected Age and 65</t>
  </si>
  <si>
    <t>Pre 65 Survivors benefit (use in cell B10 above)</t>
  </si>
  <si>
    <t>Current survivors benefit (assumes you are &gt;= 65)</t>
  </si>
  <si>
    <t>Deceased's actual pension amount</t>
  </si>
  <si>
    <t>Over 65 to Under 65 Survivors Benefit Calculator</t>
  </si>
  <si>
    <t>To retire</t>
  </si>
  <si>
    <t>Post retire/65</t>
  </si>
  <si>
    <t>At retire/65</t>
  </si>
  <si>
    <t>( &lt;-- see below if you are over 65 )</t>
  </si>
  <si>
    <t>The author has made best effort to ensure that the calculations are correct but takes no responsibility for the results</t>
  </si>
  <si>
    <t>http://www.servicecanada.gc.ca/eng/online/mysca.shtml</t>
  </si>
  <si>
    <t>Where the formulas came from</t>
  </si>
  <si>
    <t>Further information on rates</t>
  </si>
  <si>
    <t>To get your CPP estimates go here and register</t>
  </si>
  <si>
    <t>To 65/retire</t>
  </si>
  <si>
    <t>After 65/retire</t>
  </si>
  <si>
    <t>Age 64</t>
  </si>
  <si>
    <t>Age 69</t>
  </si>
  <si>
    <t>Age 74</t>
  </si>
  <si>
    <t>Age 79</t>
  </si>
  <si>
    <t>Age 84</t>
  </si>
  <si>
    <t>Age 89</t>
  </si>
  <si>
    <t>Total pre</t>
  </si>
  <si>
    <t>Differences at selected intervals (EOY)</t>
  </si>
  <si>
    <t>Notes, Cautions, and Instructions</t>
  </si>
  <si>
    <t>Start by going to Service Canada's website at http://www.servicecanada.gc.ca/eng/online/mysca.shtml and registering for your account.  Do not expect to get immediate access.  Once you register they will mail you a Personal Access Code by Canada Post.  Once you have that you can complete setting up your account and only then access your record of CPP Earnings and Contributions.  Print that out.  Then you should go to the page where you can access your Estimated Monthly CPP Benefits.  This is the information that you need for this spreadsheet.  It will tell you the Maximum Retirement Pension at age 65 for this year and your Retirement Pension if you were 65, if you apply at age 60, and if you apply at age 70.  The important numbers are the maximum and your age 65 estimate.</t>
  </si>
  <si>
    <t>I suggest that you phone Service Canada at 1-877-454-4051 and work your way through the menus until you find an option to speak to a representative.  (Hint: It wasn't until my second call that I figured out that you could dial zero once you had reached the proper department.  Be prepared to spend 5 minutes or so listening to all of the information that you don't need to reach that step.)  Once you are there have your questions prepared.  Questions such as.</t>
  </si>
  <si>
    <t>I found in the course of 4 phone calls to Service Canada that the people that work there vary in their ability and willingness to assist you.  Most freely admit that the calculations are complex and they do not fully understand them themselves.  I have to agree.</t>
  </si>
  <si>
    <t>This work is based on information found on the Internet and as such I cannot guarantee the accuracy of the source of the formulas.  In addition, I cannot guarantee that I have interpreted them correctly or that there are not errors in the way I have implemented them.  This work is one that is in progress and I would appreciate any feedback or suggestions.</t>
  </si>
  <si>
    <t>What would be my pension/survivors benefit be at age XX?  What will it be if I take my CPP at age 60 and continue to work until 65?  What if I retire at 65 but delay my CPP until age 70.  They can give you these estimates (and they are only estimates) over the phone.  Put your numbers and dates into the spreadsheet and compare the results with what Service Canada tells you.  I found that there were differences but they weren't huge which tells me that there is more to the calculation than what I have in the sheet.</t>
  </si>
  <si>
    <t>The current version of this work can be found on http://www.wiseoldcat.com .  Please send feedback to maildrop@wiseoldcat.com with "CPP Calculator" in the subject line.</t>
  </si>
  <si>
    <t>CPP benefit from Service Canada estimate at 65</t>
  </si>
  <si>
    <t>This work is released under the GNU license.  You may copy it, build on it, or pass it on as long as you do not modify the text on this page or sell it.  - (C) ATM - 2013 - http://www.gnu.org/copyleft/gpl.html</t>
  </si>
  <si>
    <t>The current maximum and flat rate portions can be found at http://www.servicecanada.gc.ca/eng/services/pensions/cpp/survivor-pension.shtml</t>
  </si>
  <si>
    <t>Maximum CPP retirement benefit (2019=1154.58)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</si>
</sst>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8" x14ac:knownFonts="1">
    <font>
      <sz val="11"/>
      <color theme="1"/>
      <name val="Calibri"/>
      <family val="2"/>
      <scheme val="minor"/>
    </font>
    <font>
      <sz val="9"/>
      <color indexed="81"/>
      <name val="Tahoma"/>
      <family val="2"/>
    </font>
    <font>
      <b/>
      <sz val="9"/>
      <color indexed="81"/>
      <name val="Tahoma"/>
      <family val="2"/>
    </font>
    <font>
      <u/>
      <sz val="11"/>
      <color theme="10"/>
      <name val="Calibri"/>
      <family val="2"/>
    </font>
    <font>
      <b/>
      <sz val="11"/>
      <color theme="1"/>
      <name val="Calibri"/>
      <family val="2"/>
      <scheme val="minor"/>
    </font>
    <font>
      <sz val="11"/>
      <color rgb="FFFF0000"/>
      <name val="Calibri"/>
      <family val="2"/>
      <scheme val="minor"/>
    </font>
    <font>
      <b/>
      <sz val="12"/>
      <color theme="1"/>
      <name val="Calibri"/>
      <family val="2"/>
      <scheme val="minor"/>
    </font>
    <font>
      <sz val="8"/>
      <color rgb="FFFF0000"/>
      <name val="Calibri"/>
      <family val="2"/>
      <scheme val="minor"/>
    </font>
  </fonts>
  <fills count="4">
    <fill>
      <patternFill patternType="none"/>
    </fill>
    <fill>
      <patternFill patternType="gray125"/>
    </fill>
    <fill>
      <patternFill patternType="solid">
        <fgColor theme="9" tint="0.59996337778862885"/>
        <bgColor indexed="64"/>
      </patternFill>
    </fill>
    <fill>
      <patternFill patternType="solid">
        <fgColor theme="8" tint="0.79998168889431442"/>
        <bgColor indexed="64"/>
      </patternFill>
    </fill>
  </fills>
  <borders count="2">
    <border>
      <left/>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30">
    <xf numFmtId="0" fontId="0" fillId="0" borderId="0" xfId="0"/>
    <xf numFmtId="4" fontId="0" fillId="0" borderId="0" xfId="0" applyNumberFormat="1"/>
    <xf numFmtId="2" fontId="0" fillId="0" borderId="0" xfId="0" applyNumberFormat="1"/>
    <xf numFmtId="0" fontId="0" fillId="0" borderId="0" xfId="0" applyNumberFormat="1"/>
    <xf numFmtId="0" fontId="5" fillId="0" borderId="0" xfId="0" applyNumberFormat="1" applyFont="1"/>
    <xf numFmtId="10" fontId="0" fillId="0" borderId="0" xfId="0" applyNumberFormat="1"/>
    <xf numFmtId="4" fontId="4" fillId="0" borderId="0" xfId="0" applyNumberFormat="1" applyFont="1"/>
    <xf numFmtId="0" fontId="4" fillId="0" borderId="0" xfId="0" applyFont="1"/>
    <xf numFmtId="0" fontId="3" fillId="0" borderId="0" xfId="1" applyAlignment="1" applyProtection="1"/>
    <xf numFmtId="2" fontId="4" fillId="0" borderId="0" xfId="0" applyNumberFormat="1" applyFont="1"/>
    <xf numFmtId="0" fontId="0" fillId="0" borderId="0" xfId="0" applyFont="1"/>
    <xf numFmtId="2" fontId="0" fillId="2" borderId="0" xfId="0" applyNumberFormat="1" applyFill="1"/>
    <xf numFmtId="2" fontId="6" fillId="0" borderId="0" xfId="0" applyNumberFormat="1" applyFont="1"/>
    <xf numFmtId="4" fontId="6" fillId="0" borderId="0" xfId="0" applyNumberFormat="1" applyFont="1"/>
    <xf numFmtId="4" fontId="7" fillId="0" borderId="0" xfId="0" applyNumberFormat="1" applyFont="1"/>
    <xf numFmtId="0" fontId="5" fillId="0" borderId="0" xfId="0" applyFont="1"/>
    <xf numFmtId="2" fontId="4" fillId="0" borderId="0" xfId="0" applyNumberFormat="1" applyFont="1" applyAlignment="1">
      <alignment horizontal="right"/>
    </xf>
    <xf numFmtId="2" fontId="0" fillId="0" borderId="0" xfId="0" applyNumberFormat="1" applyAlignment="1">
      <alignment horizontal="right"/>
    </xf>
    <xf numFmtId="0" fontId="0" fillId="0" borderId="0" xfId="0" applyAlignment="1">
      <alignment horizontal="right"/>
    </xf>
    <xf numFmtId="2" fontId="4" fillId="0" borderId="1" xfId="0" applyNumberFormat="1" applyFont="1" applyBorder="1"/>
    <xf numFmtId="4" fontId="0" fillId="0" borderId="0" xfId="0" applyNumberFormat="1" applyAlignment="1">
      <alignment horizontal="right"/>
    </xf>
    <xf numFmtId="2" fontId="0" fillId="0" borderId="0" xfId="0" applyNumberFormat="1" applyFont="1" applyAlignment="1">
      <alignment horizontal="right"/>
    </xf>
    <xf numFmtId="2" fontId="0" fillId="0" borderId="0" xfId="0" applyNumberFormat="1" applyFont="1"/>
    <xf numFmtId="164" fontId="0" fillId="3" borderId="0" xfId="0" applyNumberFormat="1" applyFill="1" applyProtection="1">
      <protection locked="0"/>
    </xf>
    <xf numFmtId="4" fontId="0" fillId="3" borderId="0" xfId="0" applyNumberFormat="1" applyFill="1" applyProtection="1">
      <protection locked="0"/>
    </xf>
    <xf numFmtId="4" fontId="4" fillId="0" borderId="0" xfId="0" applyNumberFormat="1" applyFont="1" applyAlignment="1">
      <alignment horizontal="right"/>
    </xf>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rvicecanada.gc.ca/eng/services/pensions/cpp/publications/changes.shtml" TargetMode="External"/><Relationship Id="rId1" Type="http://schemas.openxmlformats.org/officeDocument/2006/relationships/hyperlink" Target="http://retirehappy.ca/cpp-survivor-benefi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1"/>
  <sheetViews>
    <sheetView workbookViewId="0">
      <selection activeCell="B19" sqref="B19"/>
    </sheetView>
  </sheetViews>
  <sheetFormatPr defaultRowHeight="15" x14ac:dyDescent="0.25"/>
  <cols>
    <col min="1" max="1" width="43.7109375" customWidth="1"/>
    <col min="2" max="5" width="14.85546875" style="2" customWidth="1"/>
    <col min="6" max="6" width="14.85546875" customWidth="1"/>
    <col min="7" max="7" width="13.28515625" customWidth="1"/>
  </cols>
  <sheetData>
    <row r="1" spans="1:6" x14ac:dyDescent="0.25">
      <c r="B1"/>
    </row>
    <row r="2" spans="1:6" ht="15.75" x14ac:dyDescent="0.25">
      <c r="B2" s="12" t="s">
        <v>19</v>
      </c>
    </row>
    <row r="4" spans="1:6" s="18" customFormat="1" x14ac:dyDescent="0.25">
      <c r="B4" s="16" t="s">
        <v>21</v>
      </c>
      <c r="C4" s="16" t="s">
        <v>22</v>
      </c>
      <c r="D4" s="17" t="s">
        <v>24</v>
      </c>
      <c r="E4" s="17" t="s">
        <v>25</v>
      </c>
    </row>
    <row r="5" spans="1:6" x14ac:dyDescent="0.25">
      <c r="A5" s="7" t="s">
        <v>23</v>
      </c>
      <c r="B5" s="23">
        <v>21002</v>
      </c>
      <c r="C5" s="4">
        <f>IF((YEAR(B6)-YEAR(B5))*12+MONTH(B6)-MONTH(B5)&lt;720,"Too soon",IF((YEAR(B6)-YEAR(B5))*12+MONTH(B6)-MONTH(B5)&gt;840,"Too late",YEAR(B6)-YEAR(B5)))</f>
        <v>62</v>
      </c>
      <c r="D5" s="5">
        <f>IF(YEAR(B6)&lt;=2011,-0.005,IF(YEAR(B6)=2012,-0.0052,IF(YEAR(B6)=2013,-0.0054,IF(YEAR(B6)=2014,-0.0056,IF(YEAR(B6)=2015,-0.0058,-0.006)))))</f>
        <v>-6.0000000000000001E-3</v>
      </c>
      <c r="E5" s="5">
        <f>IF(YEAR(B6)&lt;=2012,0.0064,0.007)</f>
        <v>7.0000000000000001E-3</v>
      </c>
      <c r="F5" s="3"/>
    </row>
    <row r="6" spans="1:6" x14ac:dyDescent="0.25">
      <c r="A6" s="7" t="s">
        <v>20</v>
      </c>
      <c r="B6" s="23">
        <v>43647</v>
      </c>
      <c r="C6" s="3">
        <f>YEAR(B6)</f>
        <v>2019</v>
      </c>
      <c r="D6" s="5">
        <f>MIN(60,IF(DATE(YEAR(B5)+65,MONTH(B5),DAY(B5))&gt;B6,INT(YEARFRAC(DATE(YEAR(B5)+65,MONTH(B5),DAY(B5)),B6)*12),0))*D5</f>
        <v>-0.216</v>
      </c>
      <c r="E6" s="5">
        <f>MIN(60,IF(DATE(YEAR(B5)+65,MONTH(B5),DAY(B5))&gt;B6,0,INT(YEARFRAC(DATE(YEAR(B5)+65,MONTH(B5),DAY(B5)),B6)*12)))*E5</f>
        <v>0</v>
      </c>
      <c r="F6" s="3"/>
    </row>
    <row r="7" spans="1:6" x14ac:dyDescent="0.25">
      <c r="B7"/>
      <c r="C7"/>
      <c r="D7"/>
      <c r="E7"/>
    </row>
    <row r="8" spans="1:6" s="18" customFormat="1" x14ac:dyDescent="0.25">
      <c r="C8" s="18" t="s">
        <v>27</v>
      </c>
      <c r="D8" s="18" t="s">
        <v>28</v>
      </c>
    </row>
    <row r="9" spans="1:6" x14ac:dyDescent="0.25">
      <c r="A9" s="7" t="s">
        <v>85</v>
      </c>
      <c r="B9" s="24">
        <v>700</v>
      </c>
      <c r="C9" s="1">
        <f>B9*SUM(D6:E6)</f>
        <v>-151.19999999999999</v>
      </c>
      <c r="D9" s="1">
        <f>B9+C9</f>
        <v>548.79999999999995</v>
      </c>
      <c r="E9" s="1"/>
    </row>
    <row r="10" spans="1:6" x14ac:dyDescent="0.25">
      <c r="A10" s="7" t="s">
        <v>26</v>
      </c>
      <c r="B10" s="24">
        <v>600</v>
      </c>
      <c r="C10" s="14" t="s">
        <v>62</v>
      </c>
      <c r="D10" s="1"/>
      <c r="E10" s="1"/>
      <c r="F10" s="3"/>
    </row>
    <row r="11" spans="1:6" x14ac:dyDescent="0.25">
      <c r="A11" s="7" t="s">
        <v>88</v>
      </c>
      <c r="B11" s="24">
        <v>1154.58</v>
      </c>
      <c r="C11" s="1"/>
      <c r="D11" s="1"/>
      <c r="E11" s="1"/>
      <c r="F11" s="3"/>
    </row>
    <row r="12" spans="1:6" x14ac:dyDescent="0.25">
      <c r="B12" s="1"/>
      <c r="C12" s="1"/>
      <c r="D12" s="1"/>
      <c r="E12" s="1"/>
      <c r="F12" s="3"/>
    </row>
    <row r="13" spans="1:6" x14ac:dyDescent="0.25">
      <c r="B13" s="3"/>
      <c r="C13" s="3"/>
      <c r="D13" s="3"/>
      <c r="E13" s="3"/>
      <c r="F13" s="3"/>
    </row>
    <row r="14" spans="1:6" s="18" customFormat="1" x14ac:dyDescent="0.25">
      <c r="B14" s="21" t="s">
        <v>4</v>
      </c>
      <c r="C14" s="17" t="s">
        <v>31</v>
      </c>
      <c r="D14" s="17" t="s">
        <v>30</v>
      </c>
      <c r="E14" s="16" t="s">
        <v>32</v>
      </c>
    </row>
    <row r="15" spans="1:6" x14ac:dyDescent="0.25">
      <c r="A15" s="7" t="s">
        <v>29</v>
      </c>
      <c r="B15" s="22">
        <f>B10</f>
        <v>600</v>
      </c>
      <c r="C15" s="24">
        <v>193.66</v>
      </c>
      <c r="D15" s="2">
        <f>MAX(0,B15-C15)</f>
        <v>406.34000000000003</v>
      </c>
      <c r="E15" s="9">
        <f>D15/0.375</f>
        <v>1083.5733333333335</v>
      </c>
    </row>
    <row r="16" spans="1:6" x14ac:dyDescent="0.25">
      <c r="A16" s="7" t="s">
        <v>5</v>
      </c>
      <c r="B16" s="22">
        <f>0.6*E15</f>
        <v>650.14400000000012</v>
      </c>
    </row>
    <row r="18" spans="1:6" s="18" customFormat="1" x14ac:dyDescent="0.25">
      <c r="B18" s="17" t="str">
        <f>"Age "&amp;C5&amp;" Max"</f>
        <v>Age 62 Max</v>
      </c>
      <c r="C18" s="17" t="s">
        <v>10</v>
      </c>
      <c r="D18" s="16" t="s">
        <v>14</v>
      </c>
      <c r="E18" s="17" t="s">
        <v>12</v>
      </c>
      <c r="F18" s="16" t="s">
        <v>15</v>
      </c>
    </row>
    <row r="19" spans="1:6" x14ac:dyDescent="0.25">
      <c r="A19" s="7" t="s">
        <v>7</v>
      </c>
      <c r="B19" s="2">
        <f>MAX($B$11*(1+SUM(D6:E6)),B11)</f>
        <v>1154.58</v>
      </c>
      <c r="C19" s="1">
        <f>$B$9</f>
        <v>700</v>
      </c>
      <c r="D19" s="9">
        <f>IF(C5&lt;65,B19-C19,B11-C19)</f>
        <v>454.57999999999993</v>
      </c>
      <c r="E19" s="2">
        <f>$C$15</f>
        <v>193.66</v>
      </c>
      <c r="F19" s="9">
        <f>E19+D19</f>
        <v>648.2399999999999</v>
      </c>
    </row>
    <row r="20" spans="1:6" x14ac:dyDescent="0.25">
      <c r="D20" s="9"/>
      <c r="F20" s="7"/>
    </row>
    <row r="21" spans="1:6" x14ac:dyDescent="0.25">
      <c r="B21" s="17" t="s">
        <v>41</v>
      </c>
      <c r="C21" s="17" t="s">
        <v>42</v>
      </c>
      <c r="D21" s="16" t="s">
        <v>14</v>
      </c>
      <c r="E21" s="17"/>
      <c r="F21" s="16" t="s">
        <v>15</v>
      </c>
    </row>
    <row r="22" spans="1:6" x14ac:dyDescent="0.25">
      <c r="A22" s="7" t="s">
        <v>11</v>
      </c>
      <c r="B22" s="2">
        <f>-MIN(0.4*$B$9,0.4*$B$16)</f>
        <v>-260.05760000000004</v>
      </c>
      <c r="C22" s="2">
        <f>-MIN(0.4*$B$9,0.4*$D$15)</f>
        <v>-162.53600000000003</v>
      </c>
      <c r="D22" s="9">
        <f>$B$16+B22</f>
        <v>390.08640000000008</v>
      </c>
      <c r="F22" s="9">
        <f>$B$15+C22</f>
        <v>437.46399999999994</v>
      </c>
    </row>
    <row r="24" spans="1:6" x14ac:dyDescent="0.25">
      <c r="D24" s="16" t="s">
        <v>16</v>
      </c>
      <c r="E24" s="17"/>
      <c r="F24" s="16" t="s">
        <v>15</v>
      </c>
    </row>
    <row r="25" spans="1:6" x14ac:dyDescent="0.25">
      <c r="A25" t="s">
        <v>13</v>
      </c>
      <c r="D25" s="2">
        <f>MIN(D19,D22)</f>
        <v>390.08640000000008</v>
      </c>
      <c r="F25" s="2">
        <f>MIN(F19,F22)</f>
        <v>437.46399999999994</v>
      </c>
    </row>
    <row r="26" spans="1:6" x14ac:dyDescent="0.25">
      <c r="A26" t="s">
        <v>17</v>
      </c>
      <c r="D26" s="2">
        <f>$D$6*-(B16-D25)</f>
        <v>56.172441600000006</v>
      </c>
      <c r="F26" s="2">
        <f>SUM($D$6:$E$6)*-(B15-F25)</f>
        <v>35.107776000000015</v>
      </c>
    </row>
    <row r="27" spans="1:6" x14ac:dyDescent="0.25">
      <c r="A27" s="7" t="s">
        <v>18</v>
      </c>
      <c r="B27" s="9"/>
      <c r="C27" s="9"/>
      <c r="D27" s="19">
        <f>MAX(D26+D25,0)</f>
        <v>446.2588416000001</v>
      </c>
      <c r="E27" s="9"/>
      <c r="F27" s="19">
        <f>MAX(F26+F25,0)</f>
        <v>472.57177599999994</v>
      </c>
    </row>
    <row r="29" spans="1:6" x14ac:dyDescent="0.25">
      <c r="A29" s="7" t="s">
        <v>40</v>
      </c>
      <c r="B29" s="9"/>
      <c r="C29" s="9"/>
      <c r="D29" s="19">
        <f>MIN(D27+$D$9,$B$19)</f>
        <v>995.05884160000005</v>
      </c>
      <c r="E29" s="9"/>
      <c r="F29" s="19">
        <f>MIN(F27+$D$9,$B$11)</f>
        <v>1021.371776</v>
      </c>
    </row>
    <row r="31" spans="1:6" x14ac:dyDescent="0.25">
      <c r="A31" s="7" t="s">
        <v>58</v>
      </c>
    </row>
    <row r="32" spans="1:6" x14ac:dyDescent="0.25">
      <c r="A32" s="7"/>
    </row>
    <row r="33" spans="1:2" x14ac:dyDescent="0.25">
      <c r="A33" s="7" t="s">
        <v>56</v>
      </c>
      <c r="B33" s="24">
        <v>600</v>
      </c>
    </row>
    <row r="34" spans="1:2" x14ac:dyDescent="0.25">
      <c r="A34" t="s">
        <v>57</v>
      </c>
      <c r="B34" s="2">
        <v>1000</v>
      </c>
    </row>
    <row r="35" spans="1:2" x14ac:dyDescent="0.25">
      <c r="A35" s="7" t="s">
        <v>55</v>
      </c>
      <c r="B35" s="11">
        <f>B34*0.375+C15</f>
        <v>568.66</v>
      </c>
    </row>
    <row r="37" spans="1:2" x14ac:dyDescent="0.25">
      <c r="A37" t="s">
        <v>65</v>
      </c>
      <c r="B37" s="8" t="s">
        <v>6</v>
      </c>
    </row>
    <row r="38" spans="1:2" x14ac:dyDescent="0.25">
      <c r="A38" t="s">
        <v>66</v>
      </c>
      <c r="B38" s="8" t="s">
        <v>9</v>
      </c>
    </row>
    <row r="39" spans="1:2" x14ac:dyDescent="0.25">
      <c r="A39" t="s">
        <v>67</v>
      </c>
      <c r="B39" t="s">
        <v>64</v>
      </c>
    </row>
    <row r="41" spans="1:2" x14ac:dyDescent="0.25">
      <c r="A41" s="15" t="s">
        <v>63</v>
      </c>
    </row>
  </sheetData>
  <sheetProtection sheet="1" objects="1" scenarios="1"/>
  <hyperlinks>
    <hyperlink ref="B37" r:id="rId1"/>
    <hyperlink ref="B38" r:id="rId2"/>
  </hyperlinks>
  <pageMargins left="0.7" right="0.7" top="0.75" bottom="0.75" header="0.3" footer="0.3"/>
  <pageSetup scale="74" orientation="portrait"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workbookViewId="0">
      <pane xSplit="2" ySplit="12" topLeftCell="C19" activePane="bottomRight" state="frozen"/>
      <selection pane="topRight" activeCell="C1" sqref="C1"/>
      <selection pane="bottomLeft" activeCell="A14" sqref="A14"/>
      <selection pane="bottomRight" activeCell="D14" sqref="D14"/>
    </sheetView>
  </sheetViews>
  <sheetFormatPr defaultRowHeight="15" x14ac:dyDescent="0.25"/>
  <cols>
    <col min="3" max="5" width="9" style="1" bestFit="1" customWidth="1"/>
    <col min="6" max="6" width="9.7109375" style="1" customWidth="1"/>
    <col min="7" max="7" width="10" style="1" bestFit="1" customWidth="1"/>
    <col min="8" max="8" width="2.28515625" style="1" customWidth="1"/>
    <col min="9" max="12" width="10" style="1" customWidth="1"/>
    <col min="13" max="14" width="10" customWidth="1"/>
  </cols>
  <sheetData>
    <row r="1" spans="1:14" ht="15.75" x14ac:dyDescent="0.25">
      <c r="D1" s="13" t="s">
        <v>54</v>
      </c>
    </row>
    <row r="3" spans="1:14" x14ac:dyDescent="0.25">
      <c r="A3" s="7" t="s">
        <v>33</v>
      </c>
      <c r="B3" s="7"/>
      <c r="C3" s="6"/>
      <c r="D3" s="6"/>
      <c r="E3" s="6" t="s">
        <v>34</v>
      </c>
      <c r="F3" s="6" t="s">
        <v>35</v>
      </c>
    </row>
    <row r="4" spans="1:14" x14ac:dyDescent="0.25">
      <c r="F4" s="6" t="s">
        <v>68</v>
      </c>
      <c r="G4" s="6" t="s">
        <v>69</v>
      </c>
      <c r="I4" s="6" t="s">
        <v>76</v>
      </c>
      <c r="J4" s="6" t="s">
        <v>36</v>
      </c>
      <c r="K4" s="6" t="s">
        <v>53</v>
      </c>
    </row>
    <row r="5" spans="1:14" x14ac:dyDescent="0.25">
      <c r="A5" s="10" t="str">
        <f>"Pension @ "&amp;Survivors!C5&amp;" with CPP contributions to Date"</f>
        <v>Pension @ 62 with CPP contributions to Date</v>
      </c>
      <c r="E5" s="1">
        <f>Survivors!D9</f>
        <v>548.79999999999995</v>
      </c>
      <c r="F5" s="1">
        <f>Survivors!F27</f>
        <v>472.57177599999994</v>
      </c>
      <c r="G5" s="1">
        <f>Survivors!D27</f>
        <v>446.2588416000001</v>
      </c>
      <c r="I5" s="1">
        <f>MIN(Survivors!$B$11,E5+F5)</f>
        <v>1021.371776</v>
      </c>
      <c r="J5" s="1">
        <f>MIN(Survivors!$B$19,E5+G5)</f>
        <v>995.05884160000005</v>
      </c>
      <c r="K5" s="1">
        <f>E5+G5</f>
        <v>995.05884160000005</v>
      </c>
    </row>
    <row r="6" spans="1:14" x14ac:dyDescent="0.25">
      <c r="A6" s="10" t="s">
        <v>44</v>
      </c>
      <c r="E6" s="1">
        <f>Survivors!B9</f>
        <v>700</v>
      </c>
      <c r="F6" s="1">
        <f>Survivors!B10</f>
        <v>600</v>
      </c>
      <c r="G6" s="1">
        <f>Survivors!B16</f>
        <v>650.14400000000012</v>
      </c>
      <c r="J6" s="1">
        <f>MIN(Survivors!$B$11,E6+G6)</f>
        <v>1154.58</v>
      </c>
      <c r="K6" s="1">
        <f>E6+G6</f>
        <v>1350.1440000000002</v>
      </c>
    </row>
    <row r="8" spans="1:14" s="18" customFormat="1" x14ac:dyDescent="0.25">
      <c r="C8" s="20"/>
      <c r="E8" s="25" t="s">
        <v>70</v>
      </c>
      <c r="F8" s="25" t="s">
        <v>71</v>
      </c>
      <c r="G8" s="25" t="s">
        <v>72</v>
      </c>
      <c r="H8" s="26"/>
      <c r="I8" s="25" t="s">
        <v>73</v>
      </c>
      <c r="J8" s="25" t="s">
        <v>74</v>
      </c>
      <c r="K8" s="26" t="s">
        <v>75</v>
      </c>
    </row>
    <row r="9" spans="1:14" x14ac:dyDescent="0.25">
      <c r="A9" t="s">
        <v>77</v>
      </c>
      <c r="B9" s="1"/>
      <c r="E9" s="1">
        <f>N17</f>
        <v>15169.383935999998</v>
      </c>
      <c r="F9" s="1">
        <f>N22</f>
        <v>5598.1144320000312</v>
      </c>
      <c r="G9" s="1">
        <f>N27</f>
        <v>-3973.1550719999068</v>
      </c>
      <c r="I9" s="1">
        <f>N33</f>
        <v>-15458.678476799832</v>
      </c>
      <c r="J9" s="1">
        <f>N37</f>
        <v>-23115.69407999987</v>
      </c>
      <c r="K9" s="1">
        <f>N42</f>
        <v>-32686.963583999954</v>
      </c>
    </row>
    <row r="10" spans="1:14" x14ac:dyDescent="0.25">
      <c r="B10" s="1"/>
    </row>
    <row r="11" spans="1:14" x14ac:dyDescent="0.25">
      <c r="A11" s="18" t="s">
        <v>0</v>
      </c>
      <c r="B11" s="18" t="s">
        <v>1</v>
      </c>
      <c r="C11" s="1" t="str">
        <f>A5</f>
        <v>Pension @ 62 with CPP contributions to Date</v>
      </c>
      <c r="I11" s="1" t="str">
        <f>A6</f>
        <v>Pension @ 65 with CPP contributions to 65</v>
      </c>
      <c r="M11" s="1"/>
    </row>
    <row r="12" spans="1:14" s="18" customFormat="1" x14ac:dyDescent="0.25">
      <c r="C12" s="20" t="s">
        <v>2</v>
      </c>
      <c r="D12" s="20" t="s">
        <v>34</v>
      </c>
      <c r="E12" s="20" t="s">
        <v>37</v>
      </c>
      <c r="F12" s="20" t="s">
        <v>38</v>
      </c>
      <c r="G12" s="20" t="s">
        <v>39</v>
      </c>
      <c r="H12" s="20"/>
      <c r="I12" s="20" t="s">
        <v>2</v>
      </c>
      <c r="J12" s="20" t="s">
        <v>34</v>
      </c>
      <c r="K12" s="20" t="s">
        <v>37</v>
      </c>
      <c r="L12" s="20" t="s">
        <v>38</v>
      </c>
      <c r="M12" s="20" t="s">
        <v>39</v>
      </c>
      <c r="N12" s="20" t="s">
        <v>3</v>
      </c>
    </row>
    <row r="13" spans="1:14" x14ac:dyDescent="0.25">
      <c r="A13">
        <f>YEAR(DATE(YEAR(Survivors!B5)+60,MONTH(Survivors!B5),DAY(Survivors!B5)))</f>
        <v>2017</v>
      </c>
      <c r="B13">
        <v>60</v>
      </c>
      <c r="C13" s="1">
        <f>IF(B13&lt;Survivors!$C$5,Comparison1!$F$6,Comparison1!$F$5)</f>
        <v>600</v>
      </c>
      <c r="D13" s="1">
        <f>IF(B13&lt;Survivors!$C$5,0,Comparison1!$E$5)</f>
        <v>0</v>
      </c>
      <c r="E13" s="1">
        <f>IF(B13&lt;Survivors!$C$5,Comparison1!C13,Comparison1!$I$5)</f>
        <v>600</v>
      </c>
      <c r="F13" s="1">
        <f>E13*12</f>
        <v>7200</v>
      </c>
      <c r="G13" s="1">
        <f>SUM($F$13:F13)</f>
        <v>7200</v>
      </c>
      <c r="I13" s="1">
        <f>F6</f>
        <v>600</v>
      </c>
      <c r="J13" s="1">
        <v>0</v>
      </c>
      <c r="K13" s="1">
        <f>I13+J13</f>
        <v>600</v>
      </c>
      <c r="L13" s="1">
        <f>K13*12</f>
        <v>7200</v>
      </c>
      <c r="M13" s="1">
        <f>SUM($L$13:L13)</f>
        <v>7200</v>
      </c>
      <c r="N13" s="1">
        <f>$G13-M13</f>
        <v>0</v>
      </c>
    </row>
    <row r="14" spans="1:14" x14ac:dyDescent="0.25">
      <c r="A14">
        <f>A13+1</f>
        <v>2018</v>
      </c>
      <c r="B14">
        <v>61</v>
      </c>
      <c r="C14" s="1">
        <f>IF(B14&lt;Survivors!$C$5,Comparison1!$F$6,Comparison1!$F$5)</f>
        <v>600</v>
      </c>
      <c r="D14" s="1">
        <f>IF(B14&lt;Survivors!$C$5,0,Comparison1!$E$5)</f>
        <v>0</v>
      </c>
      <c r="E14" s="1">
        <f>IF(B14&lt;Survivors!$C$5,Comparison1!C14,Comparison1!$I$5)</f>
        <v>600</v>
      </c>
      <c r="F14" s="1">
        <f t="shared" ref="F14:F43" si="0">E14*12</f>
        <v>7200</v>
      </c>
      <c r="G14" s="1">
        <f>SUM($F$13:F14)</f>
        <v>14400</v>
      </c>
      <c r="I14" s="1">
        <f>I13</f>
        <v>600</v>
      </c>
      <c r="J14" s="1">
        <v>0</v>
      </c>
      <c r="K14" s="1">
        <f>I14+J14</f>
        <v>600</v>
      </c>
      <c r="L14" s="1">
        <f t="shared" ref="L14:L43" si="1">K14*12</f>
        <v>7200</v>
      </c>
      <c r="M14" s="1">
        <f>SUM($L$13:L14)</f>
        <v>14400</v>
      </c>
      <c r="N14" s="1">
        <f t="shared" ref="N14:N43" si="2">$G14-M14</f>
        <v>0</v>
      </c>
    </row>
    <row r="15" spans="1:14" x14ac:dyDescent="0.25">
      <c r="A15">
        <f t="shared" ref="A15:A43" si="3">A14+1</f>
        <v>2019</v>
      </c>
      <c r="B15">
        <v>62</v>
      </c>
      <c r="C15" s="1">
        <f>IF(B15&lt;Survivors!$C$5,Comparison1!$F$6,Comparison1!$F$5)</f>
        <v>472.57177599999994</v>
      </c>
      <c r="D15" s="1">
        <f>IF(B15&lt;Survivors!$C$5,0,Comparison1!$E$5)</f>
        <v>548.79999999999995</v>
      </c>
      <c r="E15" s="1">
        <f>IF(B15&lt;Survivors!$C$5,Comparison1!C15,Comparison1!$I$5)</f>
        <v>1021.371776</v>
      </c>
      <c r="F15" s="1">
        <f t="shared" si="0"/>
        <v>12256.461311999999</v>
      </c>
      <c r="G15" s="1">
        <f>SUM($F$13:F15)</f>
        <v>26656.461311999999</v>
      </c>
      <c r="I15" s="1">
        <f t="shared" ref="I15:K43" si="4">I14</f>
        <v>600</v>
      </c>
      <c r="J15" s="1">
        <v>0</v>
      </c>
      <c r="K15" s="1">
        <f>I15+J15</f>
        <v>600</v>
      </c>
      <c r="L15" s="1">
        <f t="shared" si="1"/>
        <v>7200</v>
      </c>
      <c r="M15" s="1">
        <f>SUM($L$13:L15)</f>
        <v>21600</v>
      </c>
      <c r="N15" s="1">
        <f t="shared" si="2"/>
        <v>5056.4613119999995</v>
      </c>
    </row>
    <row r="16" spans="1:14" x14ac:dyDescent="0.25">
      <c r="A16">
        <f t="shared" si="3"/>
        <v>2020</v>
      </c>
      <c r="B16">
        <v>63</v>
      </c>
      <c r="C16" s="1">
        <f>IF(B16&lt;Survivors!$C$5,Comparison1!$F$6,Comparison1!$F$5)</f>
        <v>472.57177599999994</v>
      </c>
      <c r="D16" s="1">
        <f>IF(B16&lt;Survivors!$C$5,0,Comparison1!$E$5)</f>
        <v>548.79999999999995</v>
      </c>
      <c r="E16" s="1">
        <f>IF(B16&lt;Survivors!$C$5,Comparison1!C16,Comparison1!$I$5)</f>
        <v>1021.371776</v>
      </c>
      <c r="F16" s="1">
        <f t="shared" si="0"/>
        <v>12256.461311999999</v>
      </c>
      <c r="G16" s="1">
        <f>SUM($F$13:F16)</f>
        <v>38912.922623999999</v>
      </c>
      <c r="I16" s="1">
        <f t="shared" si="4"/>
        <v>600</v>
      </c>
      <c r="J16" s="1">
        <v>0</v>
      </c>
      <c r="K16" s="1">
        <f>I16+J16</f>
        <v>600</v>
      </c>
      <c r="L16" s="1">
        <f t="shared" si="1"/>
        <v>7200</v>
      </c>
      <c r="M16" s="1">
        <f>SUM($L$13:L16)</f>
        <v>28800</v>
      </c>
      <c r="N16" s="1">
        <f t="shared" si="2"/>
        <v>10112.922623999999</v>
      </c>
    </row>
    <row r="17" spans="1:14" x14ac:dyDescent="0.25">
      <c r="A17">
        <f t="shared" si="3"/>
        <v>2021</v>
      </c>
      <c r="B17">
        <v>64</v>
      </c>
      <c r="C17" s="1">
        <f>IF(B17&lt;Survivors!$C$5,Comparison1!$F$6,Comparison1!$F$5)</f>
        <v>472.57177599999994</v>
      </c>
      <c r="D17" s="1">
        <f>IF(B17&lt;Survivors!$C$5,0,Comparison1!$E$5)</f>
        <v>548.79999999999995</v>
      </c>
      <c r="E17" s="1">
        <f>IF(B17&lt;Survivors!$C$5,Comparison1!C17,Comparison1!$I$5)</f>
        <v>1021.371776</v>
      </c>
      <c r="F17" s="1">
        <f t="shared" si="0"/>
        <v>12256.461311999999</v>
      </c>
      <c r="G17" s="1">
        <f>SUM($F$13:F17)</f>
        <v>51169.383935999998</v>
      </c>
      <c r="I17" s="1">
        <f t="shared" si="4"/>
        <v>600</v>
      </c>
      <c r="J17" s="1">
        <v>0</v>
      </c>
      <c r="K17" s="1">
        <f>I17+J17</f>
        <v>600</v>
      </c>
      <c r="L17" s="1">
        <f t="shared" si="1"/>
        <v>7200</v>
      </c>
      <c r="M17" s="1">
        <f>SUM($L$13:L17)</f>
        <v>36000</v>
      </c>
      <c r="N17" s="1">
        <f t="shared" si="2"/>
        <v>15169.383935999998</v>
      </c>
    </row>
    <row r="18" spans="1:14" x14ac:dyDescent="0.25">
      <c r="A18">
        <f t="shared" si="3"/>
        <v>2022</v>
      </c>
      <c r="B18">
        <v>65</v>
      </c>
      <c r="C18" s="1">
        <f>IF(B18&lt;Survivors!$C$5,Comparison1!$G$6,Comparison1!$G$5)</f>
        <v>446.2588416000001</v>
      </c>
      <c r="D18" s="1">
        <f>IF(B18&lt;Survivors!$C$5,0,Comparison1!$E$5)</f>
        <v>548.79999999999995</v>
      </c>
      <c r="E18" s="1">
        <f>IF(B18&lt;Survivors!$C$5,Comparison1!C18,Comparison1!$J$5)</f>
        <v>995.05884160000005</v>
      </c>
      <c r="F18" s="1">
        <f t="shared" si="0"/>
        <v>11940.706099200001</v>
      </c>
      <c r="G18" s="1">
        <f>SUM($F$13:F18)</f>
        <v>63110.090035200003</v>
      </c>
      <c r="I18" s="1">
        <f>G6</f>
        <v>650.14400000000012</v>
      </c>
      <c r="J18" s="1">
        <f>E6</f>
        <v>700</v>
      </c>
      <c r="K18" s="1">
        <f>J6</f>
        <v>1154.58</v>
      </c>
      <c r="L18" s="1">
        <f t="shared" si="1"/>
        <v>13854.96</v>
      </c>
      <c r="M18" s="1">
        <f>SUM($L$13:L18)</f>
        <v>49854.96</v>
      </c>
      <c r="N18" s="1">
        <f t="shared" si="2"/>
        <v>13255.130035200003</v>
      </c>
    </row>
    <row r="19" spans="1:14" x14ac:dyDescent="0.25">
      <c r="A19">
        <f t="shared" si="3"/>
        <v>2023</v>
      </c>
      <c r="B19">
        <v>66</v>
      </c>
      <c r="C19" s="1">
        <f>IF(B19&lt;Survivors!$C$5,Comparison1!$G$6,Comparison1!$G$5)</f>
        <v>446.2588416000001</v>
      </c>
      <c r="D19" s="1">
        <f>IF(B19&lt;Survivors!$C$5,0,Comparison1!$E$5)</f>
        <v>548.79999999999995</v>
      </c>
      <c r="E19" s="1">
        <f>IF(B19&lt;Survivors!$C$5,Comparison1!C19,Comparison1!$J$5)</f>
        <v>995.05884160000005</v>
      </c>
      <c r="F19" s="1">
        <f t="shared" si="0"/>
        <v>11940.706099200001</v>
      </c>
      <c r="G19" s="1">
        <f>SUM($F$13:F19)</f>
        <v>75050.796134400007</v>
      </c>
      <c r="I19" s="1">
        <f t="shared" si="4"/>
        <v>650.14400000000012</v>
      </c>
      <c r="J19" s="1">
        <f>J18</f>
        <v>700</v>
      </c>
      <c r="K19" s="1">
        <f>K18</f>
        <v>1154.58</v>
      </c>
      <c r="L19" s="1">
        <f t="shared" si="1"/>
        <v>13854.96</v>
      </c>
      <c r="M19" s="1">
        <f>SUM($L$13:L19)</f>
        <v>63709.919999999998</v>
      </c>
      <c r="N19" s="1">
        <f t="shared" si="2"/>
        <v>11340.876134400009</v>
      </c>
    </row>
    <row r="20" spans="1:14" x14ac:dyDescent="0.25">
      <c r="A20">
        <f t="shared" si="3"/>
        <v>2024</v>
      </c>
      <c r="B20">
        <v>67</v>
      </c>
      <c r="C20" s="1">
        <f>IF(B20&lt;Survivors!$C$5,Comparison1!$G$6,Comparison1!$G$5)</f>
        <v>446.2588416000001</v>
      </c>
      <c r="D20" s="1">
        <f>IF(B20&lt;Survivors!$C$5,0,Comparison1!$E$5)</f>
        <v>548.79999999999995</v>
      </c>
      <c r="E20" s="1">
        <f>IF(B20&lt;Survivors!$C$5,Comparison1!C20,Comparison1!$J$5)</f>
        <v>995.05884160000005</v>
      </c>
      <c r="F20" s="1">
        <f t="shared" si="0"/>
        <v>11940.706099200001</v>
      </c>
      <c r="G20" s="1">
        <f>SUM($F$13:F20)</f>
        <v>86991.502233600011</v>
      </c>
      <c r="I20" s="1">
        <f t="shared" si="4"/>
        <v>650.14400000000012</v>
      </c>
      <c r="J20" s="1">
        <f t="shared" si="4"/>
        <v>700</v>
      </c>
      <c r="K20" s="1">
        <f t="shared" si="4"/>
        <v>1154.58</v>
      </c>
      <c r="L20" s="1">
        <f t="shared" si="1"/>
        <v>13854.96</v>
      </c>
      <c r="M20" s="1">
        <f>SUM($L$13:L20)</f>
        <v>77564.88</v>
      </c>
      <c r="N20" s="1">
        <f t="shared" si="2"/>
        <v>9426.6222336000064</v>
      </c>
    </row>
    <row r="21" spans="1:14" x14ac:dyDescent="0.25">
      <c r="A21">
        <f t="shared" si="3"/>
        <v>2025</v>
      </c>
      <c r="B21">
        <v>68</v>
      </c>
      <c r="C21" s="1">
        <f>IF(B21&lt;Survivors!$C$5,Comparison1!$G$6,Comparison1!$G$5)</f>
        <v>446.2588416000001</v>
      </c>
      <c r="D21" s="1">
        <f>IF(B21&lt;Survivors!$C$5,0,Comparison1!$E$5)</f>
        <v>548.79999999999995</v>
      </c>
      <c r="E21" s="1">
        <f>IF(B21&lt;Survivors!$C$5,Comparison1!C21,Comparison1!$J$5)</f>
        <v>995.05884160000005</v>
      </c>
      <c r="F21" s="1">
        <f t="shared" si="0"/>
        <v>11940.706099200001</v>
      </c>
      <c r="G21" s="1">
        <f>SUM($F$13:F21)</f>
        <v>98932.208332800015</v>
      </c>
      <c r="I21" s="1">
        <f t="shared" si="4"/>
        <v>650.14400000000012</v>
      </c>
      <c r="J21" s="1">
        <f t="shared" si="4"/>
        <v>700</v>
      </c>
      <c r="K21" s="1">
        <f t="shared" si="4"/>
        <v>1154.58</v>
      </c>
      <c r="L21" s="1">
        <f t="shared" si="1"/>
        <v>13854.96</v>
      </c>
      <c r="M21" s="1">
        <f>SUM($L$13:L21)</f>
        <v>91419.839999999997</v>
      </c>
      <c r="N21" s="1">
        <f t="shared" si="2"/>
        <v>7512.3683328000188</v>
      </c>
    </row>
    <row r="22" spans="1:14" x14ac:dyDescent="0.25">
      <c r="A22">
        <f t="shared" si="3"/>
        <v>2026</v>
      </c>
      <c r="B22">
        <v>69</v>
      </c>
      <c r="C22" s="1">
        <f>IF(B22&lt;Survivors!$C$5,Comparison1!$G$6,Comparison1!$G$5)</f>
        <v>446.2588416000001</v>
      </c>
      <c r="D22" s="1">
        <f>IF(B22&lt;Survivors!$C$5,0,Comparison1!$E$5)</f>
        <v>548.79999999999995</v>
      </c>
      <c r="E22" s="1">
        <f>IF(B22&lt;Survivors!$C$5,Comparison1!C22,Comparison1!$J$5)</f>
        <v>995.05884160000005</v>
      </c>
      <c r="F22" s="1">
        <f t="shared" si="0"/>
        <v>11940.706099200001</v>
      </c>
      <c r="G22" s="1">
        <f>SUM($F$13:F22)</f>
        <v>110872.91443200002</v>
      </c>
      <c r="I22" s="1">
        <f t="shared" si="4"/>
        <v>650.14400000000012</v>
      </c>
      <c r="J22" s="1">
        <f t="shared" si="4"/>
        <v>700</v>
      </c>
      <c r="K22" s="1">
        <f t="shared" si="4"/>
        <v>1154.58</v>
      </c>
      <c r="L22" s="1">
        <f t="shared" si="1"/>
        <v>13854.96</v>
      </c>
      <c r="M22" s="1">
        <f>SUM($L$13:L22)</f>
        <v>105274.79999999999</v>
      </c>
      <c r="N22" s="1">
        <f t="shared" si="2"/>
        <v>5598.1144320000312</v>
      </c>
    </row>
    <row r="23" spans="1:14" x14ac:dyDescent="0.25">
      <c r="A23">
        <f t="shared" si="3"/>
        <v>2027</v>
      </c>
      <c r="B23">
        <v>70</v>
      </c>
      <c r="C23" s="1">
        <f>G5</f>
        <v>446.2588416000001</v>
      </c>
      <c r="D23" s="1">
        <f>IF(B23&lt;Survivors!$C$5,0,Comparison1!$E$5)</f>
        <v>548.79999999999995</v>
      </c>
      <c r="E23" s="1">
        <f>IF(B23&lt;Survivors!$C$5,Comparison1!C23,Comparison1!$J$5)</f>
        <v>995.05884160000005</v>
      </c>
      <c r="F23" s="1">
        <f t="shared" si="0"/>
        <v>11940.706099200001</v>
      </c>
      <c r="G23" s="1">
        <f>SUM($F$13:F23)</f>
        <v>122813.62053120002</v>
      </c>
      <c r="I23" s="1">
        <f t="shared" si="4"/>
        <v>650.14400000000012</v>
      </c>
      <c r="J23" s="1">
        <f t="shared" si="4"/>
        <v>700</v>
      </c>
      <c r="K23" s="1">
        <f t="shared" si="4"/>
        <v>1154.58</v>
      </c>
      <c r="L23" s="1">
        <f t="shared" si="1"/>
        <v>13854.96</v>
      </c>
      <c r="M23" s="1">
        <f>SUM($L$13:L23)</f>
        <v>119129.75999999998</v>
      </c>
      <c r="N23" s="1">
        <f t="shared" si="2"/>
        <v>3683.8605312000436</v>
      </c>
    </row>
    <row r="24" spans="1:14" x14ac:dyDescent="0.25">
      <c r="A24">
        <f t="shared" si="3"/>
        <v>2028</v>
      </c>
      <c r="B24">
        <v>71</v>
      </c>
      <c r="C24" s="1">
        <f t="shared" ref="C24:D30" si="5">C23</f>
        <v>446.2588416000001</v>
      </c>
      <c r="D24" s="1">
        <f t="shared" si="5"/>
        <v>548.79999999999995</v>
      </c>
      <c r="E24" s="1">
        <f>IF(B24&lt;Survivors!$C$5,Comparison1!C24,Comparison1!$J$5)</f>
        <v>995.05884160000005</v>
      </c>
      <c r="F24" s="1">
        <f t="shared" si="0"/>
        <v>11940.706099200001</v>
      </c>
      <c r="G24" s="1">
        <f>SUM($F$13:F24)</f>
        <v>134754.32663040003</v>
      </c>
      <c r="I24" s="1">
        <f t="shared" si="4"/>
        <v>650.14400000000012</v>
      </c>
      <c r="J24" s="1">
        <f t="shared" si="4"/>
        <v>700</v>
      </c>
      <c r="K24" s="1">
        <f t="shared" si="4"/>
        <v>1154.58</v>
      </c>
      <c r="L24" s="1">
        <f t="shared" si="1"/>
        <v>13854.96</v>
      </c>
      <c r="M24" s="1">
        <f>SUM($L$13:L24)</f>
        <v>132984.71999999997</v>
      </c>
      <c r="N24" s="1">
        <f t="shared" si="2"/>
        <v>1769.606630400056</v>
      </c>
    </row>
    <row r="25" spans="1:14" x14ac:dyDescent="0.25">
      <c r="A25">
        <f t="shared" si="3"/>
        <v>2029</v>
      </c>
      <c r="B25">
        <v>72</v>
      </c>
      <c r="C25" s="1">
        <f t="shared" si="5"/>
        <v>446.2588416000001</v>
      </c>
      <c r="D25" s="1">
        <f t="shared" si="5"/>
        <v>548.79999999999995</v>
      </c>
      <c r="E25" s="1">
        <f>IF(B25&lt;Survivors!$C$5,Comparison1!C25,Comparison1!$J$5)</f>
        <v>995.05884160000005</v>
      </c>
      <c r="F25" s="1">
        <f t="shared" si="0"/>
        <v>11940.706099200001</v>
      </c>
      <c r="G25" s="1">
        <f>SUM($F$13:F25)</f>
        <v>146695.03272960003</v>
      </c>
      <c r="I25" s="1">
        <f t="shared" si="4"/>
        <v>650.14400000000012</v>
      </c>
      <c r="J25" s="1">
        <f t="shared" si="4"/>
        <v>700</v>
      </c>
      <c r="K25" s="1">
        <f t="shared" si="4"/>
        <v>1154.58</v>
      </c>
      <c r="L25" s="1">
        <f t="shared" si="1"/>
        <v>13854.96</v>
      </c>
      <c r="M25" s="1">
        <f>SUM($L$13:L25)</f>
        <v>146839.67999999996</v>
      </c>
      <c r="N25" s="1">
        <f t="shared" si="2"/>
        <v>-144.64727039993159</v>
      </c>
    </row>
    <row r="26" spans="1:14" x14ac:dyDescent="0.25">
      <c r="A26">
        <f t="shared" si="3"/>
        <v>2030</v>
      </c>
      <c r="B26">
        <v>73</v>
      </c>
      <c r="C26" s="1">
        <f t="shared" si="5"/>
        <v>446.2588416000001</v>
      </c>
      <c r="D26" s="1">
        <f t="shared" si="5"/>
        <v>548.79999999999995</v>
      </c>
      <c r="E26" s="1">
        <f>IF(B26&lt;Survivors!$C$5,Comparison1!C26,Comparison1!$J$5)</f>
        <v>995.05884160000005</v>
      </c>
      <c r="F26" s="1">
        <f t="shared" si="0"/>
        <v>11940.706099200001</v>
      </c>
      <c r="G26" s="1">
        <f>SUM($F$13:F26)</f>
        <v>158635.73882880004</v>
      </c>
      <c r="I26" s="1">
        <f t="shared" si="4"/>
        <v>650.14400000000012</v>
      </c>
      <c r="J26" s="1">
        <f t="shared" si="4"/>
        <v>700</v>
      </c>
      <c r="K26" s="1">
        <f t="shared" si="4"/>
        <v>1154.58</v>
      </c>
      <c r="L26" s="1">
        <f t="shared" si="1"/>
        <v>13854.96</v>
      </c>
      <c r="M26" s="1">
        <f>SUM($L$13:L26)</f>
        <v>160694.63999999996</v>
      </c>
      <c r="N26" s="1">
        <f t="shared" si="2"/>
        <v>-2058.9011711999192</v>
      </c>
    </row>
    <row r="27" spans="1:14" x14ac:dyDescent="0.25">
      <c r="A27">
        <f t="shared" si="3"/>
        <v>2031</v>
      </c>
      <c r="B27">
        <v>74</v>
      </c>
      <c r="C27" s="1">
        <f t="shared" si="5"/>
        <v>446.2588416000001</v>
      </c>
      <c r="D27" s="1">
        <f t="shared" si="5"/>
        <v>548.79999999999995</v>
      </c>
      <c r="E27" s="1">
        <f>IF(B27&lt;Survivors!$C$5,Comparison1!C27,Comparison1!$J$5)</f>
        <v>995.05884160000005</v>
      </c>
      <c r="F27" s="1">
        <f t="shared" si="0"/>
        <v>11940.706099200001</v>
      </c>
      <c r="G27" s="1">
        <f>SUM($F$13:F27)</f>
        <v>170576.44492800004</v>
      </c>
      <c r="I27" s="1">
        <f t="shared" si="4"/>
        <v>650.14400000000012</v>
      </c>
      <c r="J27" s="1">
        <f t="shared" si="4"/>
        <v>700</v>
      </c>
      <c r="K27" s="1">
        <f t="shared" si="4"/>
        <v>1154.58</v>
      </c>
      <c r="L27" s="1">
        <f t="shared" si="1"/>
        <v>13854.96</v>
      </c>
      <c r="M27" s="1">
        <f>SUM($L$13:L27)</f>
        <v>174549.59999999995</v>
      </c>
      <c r="N27" s="1">
        <f t="shared" si="2"/>
        <v>-3973.1550719999068</v>
      </c>
    </row>
    <row r="28" spans="1:14" x14ac:dyDescent="0.25">
      <c r="A28">
        <f t="shared" si="3"/>
        <v>2032</v>
      </c>
      <c r="B28">
        <v>75</v>
      </c>
      <c r="C28" s="1">
        <f t="shared" si="5"/>
        <v>446.2588416000001</v>
      </c>
      <c r="D28" s="1">
        <f t="shared" si="5"/>
        <v>548.79999999999995</v>
      </c>
      <c r="E28" s="1">
        <f>IF(B28&lt;Survivors!$C$5,Comparison1!C28,Comparison1!$J$5)</f>
        <v>995.05884160000005</v>
      </c>
      <c r="F28" s="1">
        <f t="shared" si="0"/>
        <v>11940.706099200001</v>
      </c>
      <c r="G28" s="1">
        <f>SUM($F$13:F28)</f>
        <v>182517.15102720005</v>
      </c>
      <c r="I28" s="1">
        <f t="shared" si="4"/>
        <v>650.14400000000012</v>
      </c>
      <c r="J28" s="1">
        <f t="shared" si="4"/>
        <v>700</v>
      </c>
      <c r="K28" s="1">
        <f t="shared" si="4"/>
        <v>1154.58</v>
      </c>
      <c r="L28" s="1">
        <f t="shared" si="1"/>
        <v>13854.96</v>
      </c>
      <c r="M28" s="1">
        <f>SUM($L$13:L28)</f>
        <v>188404.55999999994</v>
      </c>
      <c r="N28" s="1">
        <f t="shared" si="2"/>
        <v>-5887.4089727998944</v>
      </c>
    </row>
    <row r="29" spans="1:14" x14ac:dyDescent="0.25">
      <c r="A29">
        <f t="shared" si="3"/>
        <v>2033</v>
      </c>
      <c r="B29">
        <v>76</v>
      </c>
      <c r="C29" s="1">
        <f t="shared" si="5"/>
        <v>446.2588416000001</v>
      </c>
      <c r="D29" s="1">
        <f t="shared" si="5"/>
        <v>548.79999999999995</v>
      </c>
      <c r="E29" s="1">
        <f>IF(B29&lt;Survivors!$C$5,Comparison1!C29,Comparison1!$J$5)</f>
        <v>995.05884160000005</v>
      </c>
      <c r="F29" s="1">
        <f t="shared" si="0"/>
        <v>11940.706099200001</v>
      </c>
      <c r="G29" s="1">
        <f>SUM($F$13:F29)</f>
        <v>194457.85712640005</v>
      </c>
      <c r="I29" s="1">
        <f t="shared" si="4"/>
        <v>650.14400000000012</v>
      </c>
      <c r="J29" s="1">
        <f t="shared" si="4"/>
        <v>700</v>
      </c>
      <c r="K29" s="1">
        <f t="shared" si="4"/>
        <v>1154.58</v>
      </c>
      <c r="L29" s="1">
        <f t="shared" si="1"/>
        <v>13854.96</v>
      </c>
      <c r="M29" s="1">
        <f>SUM($L$13:L29)</f>
        <v>202259.51999999993</v>
      </c>
      <c r="N29" s="1">
        <f t="shared" si="2"/>
        <v>-7801.662873599882</v>
      </c>
    </row>
    <row r="30" spans="1:14" x14ac:dyDescent="0.25">
      <c r="A30">
        <f t="shared" si="3"/>
        <v>2034</v>
      </c>
      <c r="B30">
        <v>77</v>
      </c>
      <c r="C30" s="1">
        <f t="shared" si="5"/>
        <v>446.2588416000001</v>
      </c>
      <c r="D30" s="1">
        <f t="shared" si="5"/>
        <v>548.79999999999995</v>
      </c>
      <c r="E30" s="1">
        <f>IF(B30&lt;Survivors!$C$5,Comparison1!C30,Comparison1!$J$5)</f>
        <v>995.05884160000005</v>
      </c>
      <c r="F30" s="1">
        <f t="shared" si="0"/>
        <v>11940.706099200001</v>
      </c>
      <c r="G30" s="1">
        <f>SUM($F$13:F30)</f>
        <v>206398.56322560005</v>
      </c>
      <c r="I30" s="1">
        <f t="shared" si="4"/>
        <v>650.14400000000012</v>
      </c>
      <c r="J30" s="1">
        <f t="shared" si="4"/>
        <v>700</v>
      </c>
      <c r="K30" s="1">
        <f t="shared" si="4"/>
        <v>1154.58</v>
      </c>
      <c r="L30" s="1">
        <f t="shared" si="1"/>
        <v>13854.96</v>
      </c>
      <c r="M30" s="1">
        <f>SUM($L$13:L30)</f>
        <v>216114.47999999992</v>
      </c>
      <c r="N30" s="1">
        <f t="shared" si="2"/>
        <v>-9715.9167743998696</v>
      </c>
    </row>
    <row r="31" spans="1:14" x14ac:dyDescent="0.25">
      <c r="A31">
        <f t="shared" si="3"/>
        <v>2035</v>
      </c>
      <c r="B31">
        <v>78</v>
      </c>
      <c r="C31" s="1">
        <f t="shared" ref="C31:D43" si="6">C30</f>
        <v>446.2588416000001</v>
      </c>
      <c r="D31" s="1">
        <f t="shared" si="6"/>
        <v>548.79999999999995</v>
      </c>
      <c r="E31" s="1">
        <f>IF(B31&lt;Survivors!$C$5,Comparison1!C31,Comparison1!$J$5)</f>
        <v>995.05884160000005</v>
      </c>
      <c r="F31" s="1">
        <f t="shared" si="0"/>
        <v>11940.706099200001</v>
      </c>
      <c r="G31" s="1">
        <f>SUM($F$13:F31)</f>
        <v>218339.26932480006</v>
      </c>
      <c r="I31" s="1">
        <f t="shared" si="4"/>
        <v>650.14400000000012</v>
      </c>
      <c r="J31" s="1">
        <f t="shared" si="4"/>
        <v>700</v>
      </c>
      <c r="K31" s="1">
        <f t="shared" si="4"/>
        <v>1154.58</v>
      </c>
      <c r="L31" s="1">
        <f t="shared" si="1"/>
        <v>13854.96</v>
      </c>
      <c r="M31" s="1">
        <f>SUM($L$13:L31)</f>
        <v>229969.43999999992</v>
      </c>
      <c r="N31" s="1">
        <f t="shared" si="2"/>
        <v>-11630.170675199857</v>
      </c>
    </row>
    <row r="32" spans="1:14" x14ac:dyDescent="0.25">
      <c r="A32">
        <f t="shared" si="3"/>
        <v>2036</v>
      </c>
      <c r="B32">
        <v>79</v>
      </c>
      <c r="C32" s="1">
        <f t="shared" si="6"/>
        <v>446.2588416000001</v>
      </c>
      <c r="D32" s="1">
        <f t="shared" si="6"/>
        <v>548.79999999999995</v>
      </c>
      <c r="E32" s="1">
        <f>IF(B32&lt;Survivors!$C$5,Comparison1!C32,Comparison1!$J$5)</f>
        <v>995.05884160000005</v>
      </c>
      <c r="F32" s="1">
        <f t="shared" si="0"/>
        <v>11940.706099200001</v>
      </c>
      <c r="G32" s="1">
        <f>SUM($F$13:F32)</f>
        <v>230279.97542400006</v>
      </c>
      <c r="I32" s="1">
        <f t="shared" si="4"/>
        <v>650.14400000000012</v>
      </c>
      <c r="J32" s="1">
        <f t="shared" si="4"/>
        <v>700</v>
      </c>
      <c r="K32" s="1">
        <f t="shared" si="4"/>
        <v>1154.58</v>
      </c>
      <c r="L32" s="1">
        <f t="shared" si="1"/>
        <v>13854.96</v>
      </c>
      <c r="M32" s="1">
        <f>SUM($L$13:L32)</f>
        <v>243824.39999999991</v>
      </c>
      <c r="N32" s="1">
        <f t="shared" si="2"/>
        <v>-13544.424575999845</v>
      </c>
    </row>
    <row r="33" spans="1:14" x14ac:dyDescent="0.25">
      <c r="A33">
        <f t="shared" si="3"/>
        <v>2037</v>
      </c>
      <c r="B33">
        <v>80</v>
      </c>
      <c r="C33" s="1">
        <f t="shared" si="6"/>
        <v>446.2588416000001</v>
      </c>
      <c r="D33" s="1">
        <f t="shared" si="6"/>
        <v>548.79999999999995</v>
      </c>
      <c r="E33" s="1">
        <f>IF(B33&lt;Survivors!$C$5,Comparison1!C33,Comparison1!$J$5)</f>
        <v>995.05884160000005</v>
      </c>
      <c r="F33" s="1">
        <f t="shared" si="0"/>
        <v>11940.706099200001</v>
      </c>
      <c r="G33" s="1">
        <f>SUM($F$13:F33)</f>
        <v>242220.68152320007</v>
      </c>
      <c r="I33" s="1">
        <f t="shared" si="4"/>
        <v>650.14400000000012</v>
      </c>
      <c r="J33" s="1">
        <f t="shared" si="4"/>
        <v>700</v>
      </c>
      <c r="K33" s="1">
        <f t="shared" si="4"/>
        <v>1154.58</v>
      </c>
      <c r="L33" s="1">
        <f t="shared" si="1"/>
        <v>13854.96</v>
      </c>
      <c r="M33" s="1">
        <f>SUM($L$13:L33)</f>
        <v>257679.3599999999</v>
      </c>
      <c r="N33" s="1">
        <f t="shared" si="2"/>
        <v>-15458.678476799832</v>
      </c>
    </row>
    <row r="34" spans="1:14" x14ac:dyDescent="0.25">
      <c r="A34">
        <f t="shared" si="3"/>
        <v>2038</v>
      </c>
      <c r="B34">
        <v>81</v>
      </c>
      <c r="C34" s="1">
        <f t="shared" si="6"/>
        <v>446.2588416000001</v>
      </c>
      <c r="D34" s="1">
        <f t="shared" si="6"/>
        <v>548.79999999999995</v>
      </c>
      <c r="E34" s="1">
        <f>IF(B34&lt;Survivors!$C$5,Comparison1!C34,Comparison1!$J$5)</f>
        <v>995.05884160000005</v>
      </c>
      <c r="F34" s="1">
        <f t="shared" si="0"/>
        <v>11940.706099200001</v>
      </c>
      <c r="G34" s="1">
        <f>SUM($F$13:F34)</f>
        <v>254161.38762240007</v>
      </c>
      <c r="I34" s="1">
        <f t="shared" si="4"/>
        <v>650.14400000000012</v>
      </c>
      <c r="J34" s="1">
        <f t="shared" si="4"/>
        <v>700</v>
      </c>
      <c r="K34" s="1">
        <f t="shared" si="4"/>
        <v>1154.58</v>
      </c>
      <c r="L34" s="1">
        <f t="shared" si="1"/>
        <v>13854.96</v>
      </c>
      <c r="M34" s="1">
        <f>SUM($L$13:L34)</f>
        <v>271534.31999999989</v>
      </c>
      <c r="N34" s="1">
        <f t="shared" si="2"/>
        <v>-17372.93237759982</v>
      </c>
    </row>
    <row r="35" spans="1:14" x14ac:dyDescent="0.25">
      <c r="A35">
        <f t="shared" si="3"/>
        <v>2039</v>
      </c>
      <c r="B35">
        <v>82</v>
      </c>
      <c r="C35" s="1">
        <f t="shared" si="6"/>
        <v>446.2588416000001</v>
      </c>
      <c r="D35" s="1">
        <f t="shared" si="6"/>
        <v>548.79999999999995</v>
      </c>
      <c r="E35" s="1">
        <f>IF(B35&lt;Survivors!$C$5,Comparison1!C35,Comparison1!$J$5)</f>
        <v>995.05884160000005</v>
      </c>
      <c r="F35" s="1">
        <f t="shared" si="0"/>
        <v>11940.706099200001</v>
      </c>
      <c r="G35" s="1">
        <f>SUM($F$13:F35)</f>
        <v>266102.09372160007</v>
      </c>
      <c r="I35" s="1">
        <f t="shared" si="4"/>
        <v>650.14400000000012</v>
      </c>
      <c r="J35" s="1">
        <f t="shared" si="4"/>
        <v>700</v>
      </c>
      <c r="K35" s="1">
        <f t="shared" si="4"/>
        <v>1154.58</v>
      </c>
      <c r="L35" s="1">
        <f t="shared" si="1"/>
        <v>13854.96</v>
      </c>
      <c r="M35" s="1">
        <f>SUM($L$13:L35)</f>
        <v>285389.27999999991</v>
      </c>
      <c r="N35" s="1">
        <f t="shared" si="2"/>
        <v>-19287.186278399837</v>
      </c>
    </row>
    <row r="36" spans="1:14" x14ac:dyDescent="0.25">
      <c r="A36">
        <f t="shared" si="3"/>
        <v>2040</v>
      </c>
      <c r="B36">
        <v>83</v>
      </c>
      <c r="C36" s="1">
        <f t="shared" si="6"/>
        <v>446.2588416000001</v>
      </c>
      <c r="D36" s="1">
        <f t="shared" si="6"/>
        <v>548.79999999999995</v>
      </c>
      <c r="E36" s="1">
        <f>IF(B36&lt;Survivors!$C$5,Comparison1!C36,Comparison1!$J$5)</f>
        <v>995.05884160000005</v>
      </c>
      <c r="F36" s="1">
        <f t="shared" si="0"/>
        <v>11940.706099200001</v>
      </c>
      <c r="G36" s="1">
        <f>SUM($F$13:F36)</f>
        <v>278042.79982080008</v>
      </c>
      <c r="I36" s="1">
        <f t="shared" si="4"/>
        <v>650.14400000000012</v>
      </c>
      <c r="J36" s="1">
        <f t="shared" si="4"/>
        <v>700</v>
      </c>
      <c r="K36" s="1">
        <f t="shared" si="4"/>
        <v>1154.58</v>
      </c>
      <c r="L36" s="1">
        <f t="shared" si="1"/>
        <v>13854.96</v>
      </c>
      <c r="M36" s="1">
        <f>SUM($L$13:L36)</f>
        <v>299244.23999999993</v>
      </c>
      <c r="N36" s="1">
        <f t="shared" si="2"/>
        <v>-21201.440179199853</v>
      </c>
    </row>
    <row r="37" spans="1:14" x14ac:dyDescent="0.25">
      <c r="A37">
        <f t="shared" si="3"/>
        <v>2041</v>
      </c>
      <c r="B37">
        <v>84</v>
      </c>
      <c r="C37" s="1">
        <f t="shared" si="6"/>
        <v>446.2588416000001</v>
      </c>
      <c r="D37" s="1">
        <f t="shared" si="6"/>
        <v>548.79999999999995</v>
      </c>
      <c r="E37" s="1">
        <f>IF(B37&lt;Survivors!$C$5,Comparison1!C37,Comparison1!$J$5)</f>
        <v>995.05884160000005</v>
      </c>
      <c r="F37" s="1">
        <f t="shared" si="0"/>
        <v>11940.706099200001</v>
      </c>
      <c r="G37" s="1">
        <f>SUM($F$13:F37)</f>
        <v>289983.50592000008</v>
      </c>
      <c r="I37" s="1">
        <f t="shared" si="4"/>
        <v>650.14400000000012</v>
      </c>
      <c r="J37" s="1">
        <f t="shared" si="4"/>
        <v>700</v>
      </c>
      <c r="K37" s="1">
        <f t="shared" si="4"/>
        <v>1154.58</v>
      </c>
      <c r="L37" s="1">
        <f t="shared" si="1"/>
        <v>13854.96</v>
      </c>
      <c r="M37" s="1">
        <f>SUM($L$13:L37)</f>
        <v>313099.19999999995</v>
      </c>
      <c r="N37" s="1">
        <f t="shared" si="2"/>
        <v>-23115.69407999987</v>
      </c>
    </row>
    <row r="38" spans="1:14" x14ac:dyDescent="0.25">
      <c r="A38">
        <f t="shared" si="3"/>
        <v>2042</v>
      </c>
      <c r="B38">
        <v>85</v>
      </c>
      <c r="C38" s="1">
        <f t="shared" si="6"/>
        <v>446.2588416000001</v>
      </c>
      <c r="D38" s="1">
        <f t="shared" si="6"/>
        <v>548.79999999999995</v>
      </c>
      <c r="E38" s="1">
        <f>IF(B38&lt;Survivors!$C$5,Comparison1!C38,Comparison1!$J$5)</f>
        <v>995.05884160000005</v>
      </c>
      <c r="F38" s="1">
        <f t="shared" si="0"/>
        <v>11940.706099200001</v>
      </c>
      <c r="G38" s="1">
        <f>SUM($F$13:F38)</f>
        <v>301924.21201920009</v>
      </c>
      <c r="I38" s="1">
        <f t="shared" si="4"/>
        <v>650.14400000000012</v>
      </c>
      <c r="J38" s="1">
        <f t="shared" si="4"/>
        <v>700</v>
      </c>
      <c r="K38" s="1">
        <f t="shared" si="4"/>
        <v>1154.58</v>
      </c>
      <c r="L38" s="1">
        <f t="shared" si="1"/>
        <v>13854.96</v>
      </c>
      <c r="M38" s="1">
        <f>SUM($L$13:L38)</f>
        <v>326954.15999999997</v>
      </c>
      <c r="N38" s="1">
        <f t="shared" si="2"/>
        <v>-25029.947980799887</v>
      </c>
    </row>
    <row r="39" spans="1:14" x14ac:dyDescent="0.25">
      <c r="A39">
        <f t="shared" si="3"/>
        <v>2043</v>
      </c>
      <c r="B39">
        <v>86</v>
      </c>
      <c r="C39" s="1">
        <f t="shared" si="6"/>
        <v>446.2588416000001</v>
      </c>
      <c r="D39" s="1">
        <f t="shared" si="6"/>
        <v>548.79999999999995</v>
      </c>
      <c r="E39" s="1">
        <f>IF(B39&lt;Survivors!$C$5,Comparison1!C39,Comparison1!$J$5)</f>
        <v>995.05884160000005</v>
      </c>
      <c r="F39" s="1">
        <f t="shared" si="0"/>
        <v>11940.706099200001</v>
      </c>
      <c r="G39" s="1">
        <f>SUM($F$13:F39)</f>
        <v>313864.91811840009</v>
      </c>
      <c r="I39" s="1">
        <f t="shared" si="4"/>
        <v>650.14400000000012</v>
      </c>
      <c r="J39" s="1">
        <f t="shared" si="4"/>
        <v>700</v>
      </c>
      <c r="K39" s="1">
        <f t="shared" si="4"/>
        <v>1154.58</v>
      </c>
      <c r="L39" s="1">
        <f t="shared" si="1"/>
        <v>13854.96</v>
      </c>
      <c r="M39" s="1">
        <f>SUM($L$13:L39)</f>
        <v>340809.12</v>
      </c>
      <c r="N39" s="1">
        <f t="shared" si="2"/>
        <v>-26944.201881599904</v>
      </c>
    </row>
    <row r="40" spans="1:14" x14ac:dyDescent="0.25">
      <c r="A40">
        <f t="shared" si="3"/>
        <v>2044</v>
      </c>
      <c r="B40">
        <v>87</v>
      </c>
      <c r="C40" s="1">
        <f t="shared" si="6"/>
        <v>446.2588416000001</v>
      </c>
      <c r="D40" s="1">
        <f t="shared" si="6"/>
        <v>548.79999999999995</v>
      </c>
      <c r="E40" s="1">
        <f>IF(B40&lt;Survivors!$C$5,Comparison1!C40,Comparison1!$J$5)</f>
        <v>995.05884160000005</v>
      </c>
      <c r="F40" s="1">
        <f t="shared" si="0"/>
        <v>11940.706099200001</v>
      </c>
      <c r="G40" s="1">
        <f>SUM($F$13:F40)</f>
        <v>325805.6242176001</v>
      </c>
      <c r="I40" s="1">
        <f t="shared" si="4"/>
        <v>650.14400000000012</v>
      </c>
      <c r="J40" s="1">
        <f t="shared" si="4"/>
        <v>700</v>
      </c>
      <c r="K40" s="1">
        <f t="shared" si="4"/>
        <v>1154.58</v>
      </c>
      <c r="L40" s="1">
        <f t="shared" si="1"/>
        <v>13854.96</v>
      </c>
      <c r="M40" s="1">
        <f>SUM($L$13:L40)</f>
        <v>354664.08</v>
      </c>
      <c r="N40" s="1">
        <f t="shared" si="2"/>
        <v>-28858.45578239992</v>
      </c>
    </row>
    <row r="41" spans="1:14" x14ac:dyDescent="0.25">
      <c r="A41">
        <f t="shared" si="3"/>
        <v>2045</v>
      </c>
      <c r="B41">
        <v>88</v>
      </c>
      <c r="C41" s="1">
        <f t="shared" si="6"/>
        <v>446.2588416000001</v>
      </c>
      <c r="D41" s="1">
        <f t="shared" si="6"/>
        <v>548.79999999999995</v>
      </c>
      <c r="E41" s="1">
        <f>IF(B41&lt;Survivors!$C$5,Comparison1!C41,Comparison1!$J$5)</f>
        <v>995.05884160000005</v>
      </c>
      <c r="F41" s="1">
        <f t="shared" si="0"/>
        <v>11940.706099200001</v>
      </c>
      <c r="G41" s="1">
        <f>SUM($F$13:F41)</f>
        <v>337746.3303168001</v>
      </c>
      <c r="I41" s="1">
        <f t="shared" si="4"/>
        <v>650.14400000000012</v>
      </c>
      <c r="J41" s="1">
        <f t="shared" si="4"/>
        <v>700</v>
      </c>
      <c r="K41" s="1">
        <f t="shared" si="4"/>
        <v>1154.58</v>
      </c>
      <c r="L41" s="1">
        <f t="shared" si="1"/>
        <v>13854.96</v>
      </c>
      <c r="M41" s="1">
        <f>SUM($L$13:L41)</f>
        <v>368519.04000000004</v>
      </c>
      <c r="N41" s="1">
        <f t="shared" si="2"/>
        <v>-30772.709683199937</v>
      </c>
    </row>
    <row r="42" spans="1:14" x14ac:dyDescent="0.25">
      <c r="A42">
        <f t="shared" si="3"/>
        <v>2046</v>
      </c>
      <c r="B42">
        <v>89</v>
      </c>
      <c r="C42" s="1">
        <f t="shared" si="6"/>
        <v>446.2588416000001</v>
      </c>
      <c r="D42" s="1">
        <f t="shared" si="6"/>
        <v>548.79999999999995</v>
      </c>
      <c r="E42" s="1">
        <f>IF(B42&lt;Survivors!$C$5,Comparison1!C42,Comparison1!$J$5)</f>
        <v>995.05884160000005</v>
      </c>
      <c r="F42" s="1">
        <f t="shared" si="0"/>
        <v>11940.706099200001</v>
      </c>
      <c r="G42" s="1">
        <f>SUM($F$13:F42)</f>
        <v>349687.0364160001</v>
      </c>
      <c r="I42" s="1">
        <f t="shared" si="4"/>
        <v>650.14400000000012</v>
      </c>
      <c r="J42" s="1">
        <f t="shared" si="4"/>
        <v>700</v>
      </c>
      <c r="K42" s="1">
        <f t="shared" si="4"/>
        <v>1154.58</v>
      </c>
      <c r="L42" s="1">
        <f t="shared" si="1"/>
        <v>13854.96</v>
      </c>
      <c r="M42" s="1">
        <f>SUM($L$13:L42)</f>
        <v>382374.00000000006</v>
      </c>
      <c r="N42" s="1">
        <f t="shared" si="2"/>
        <v>-32686.963583999954</v>
      </c>
    </row>
    <row r="43" spans="1:14" x14ac:dyDescent="0.25">
      <c r="A43">
        <f t="shared" si="3"/>
        <v>2047</v>
      </c>
      <c r="B43">
        <v>90</v>
      </c>
      <c r="C43" s="1">
        <f t="shared" si="6"/>
        <v>446.2588416000001</v>
      </c>
      <c r="D43" s="1">
        <f t="shared" si="6"/>
        <v>548.79999999999995</v>
      </c>
      <c r="E43" s="1">
        <f>IF(B43&lt;Survivors!$C$5,Comparison1!C43,Comparison1!$J$5)</f>
        <v>995.05884160000005</v>
      </c>
      <c r="F43" s="1">
        <f t="shared" si="0"/>
        <v>11940.706099200001</v>
      </c>
      <c r="G43" s="1">
        <f>SUM($F$13:F43)</f>
        <v>361627.74251520011</v>
      </c>
      <c r="I43" s="1">
        <f t="shared" si="4"/>
        <v>650.14400000000012</v>
      </c>
      <c r="J43" s="1">
        <f t="shared" si="4"/>
        <v>700</v>
      </c>
      <c r="K43" s="1">
        <f t="shared" si="4"/>
        <v>1154.58</v>
      </c>
      <c r="L43" s="1">
        <f t="shared" si="1"/>
        <v>13854.96</v>
      </c>
      <c r="M43" s="1">
        <f>SUM($L$13:L43)</f>
        <v>396228.96000000008</v>
      </c>
      <c r="N43" s="1">
        <f t="shared" si="2"/>
        <v>-34601.21748479997</v>
      </c>
    </row>
  </sheetData>
  <sheetProtection sheet="1" objects="1" scenarios="1"/>
  <pageMargins left="0.7" right="0.7" top="0.75" bottom="0.75" header="0.3" footer="0.3"/>
  <pageSetup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workbookViewId="0">
      <pane xSplit="2" ySplit="11" topLeftCell="C12" activePane="bottomRight" state="frozen"/>
      <selection pane="topRight" activeCell="C1" sqref="C1"/>
      <selection pane="bottomLeft" activeCell="A14" sqref="A14"/>
      <selection pane="bottomRight" activeCell="A8" sqref="A8"/>
    </sheetView>
  </sheetViews>
  <sheetFormatPr defaultRowHeight="15" x14ac:dyDescent="0.25"/>
  <cols>
    <col min="3" max="5" width="9" style="1" bestFit="1" customWidth="1"/>
    <col min="6" max="6" width="9" style="1" customWidth="1"/>
    <col min="7" max="7" width="10" style="1" bestFit="1" customWidth="1"/>
    <col min="8" max="8" width="2.28515625" style="1" customWidth="1"/>
    <col min="9" max="12" width="10" style="1" customWidth="1"/>
    <col min="13" max="14" width="10" customWidth="1"/>
    <col min="15" max="15" width="2.28515625" customWidth="1"/>
    <col min="16" max="20" width="10" customWidth="1"/>
    <col min="21" max="21" width="10.7109375" bestFit="1" customWidth="1"/>
    <col min="22" max="22" width="2.28515625" customWidth="1"/>
  </cols>
  <sheetData>
    <row r="1" spans="1:21" ht="15.75" x14ac:dyDescent="0.25">
      <c r="D1" s="13" t="s">
        <v>48</v>
      </c>
    </row>
    <row r="3" spans="1:21" x14ac:dyDescent="0.25">
      <c r="A3" s="7" t="s">
        <v>33</v>
      </c>
      <c r="B3" s="7"/>
      <c r="C3" s="6"/>
      <c r="D3" s="6"/>
      <c r="G3" s="6" t="s">
        <v>34</v>
      </c>
      <c r="I3" s="6" t="s">
        <v>35</v>
      </c>
    </row>
    <row r="4" spans="1:21" x14ac:dyDescent="0.25">
      <c r="I4" s="6" t="s">
        <v>59</v>
      </c>
      <c r="J4" s="6" t="s">
        <v>61</v>
      </c>
      <c r="K4" s="6" t="s">
        <v>60</v>
      </c>
      <c r="M4" s="6" t="s">
        <v>36</v>
      </c>
      <c r="N4" s="6" t="s">
        <v>53</v>
      </c>
    </row>
    <row r="5" spans="1:21" x14ac:dyDescent="0.25">
      <c r="A5" t="s">
        <v>43</v>
      </c>
      <c r="G5" s="1">
        <f>G6+G6*60*Survivors!D5</f>
        <v>448</v>
      </c>
      <c r="I5" s="1">
        <f>Survivors!B10</f>
        <v>600</v>
      </c>
      <c r="J5" s="1">
        <f>Math!F10</f>
        <v>495.97695999999996</v>
      </c>
      <c r="K5" s="1">
        <f>Math!D10</f>
        <v>483.70713600000011</v>
      </c>
      <c r="M5" s="1">
        <f>G5+K5</f>
        <v>931.70713600000011</v>
      </c>
      <c r="N5" s="1">
        <f>G5+K5</f>
        <v>931.70713600000011</v>
      </c>
    </row>
    <row r="6" spans="1:21" x14ac:dyDescent="0.25">
      <c r="A6" t="s">
        <v>44</v>
      </c>
      <c r="G6" s="1">
        <f>Survivors!B9</f>
        <v>700</v>
      </c>
      <c r="I6" s="1">
        <f>Survivors!B10</f>
        <v>600</v>
      </c>
      <c r="J6" s="1">
        <f>Survivors!B16</f>
        <v>650.14400000000012</v>
      </c>
      <c r="K6" s="1">
        <f>J6</f>
        <v>650.14400000000012</v>
      </c>
      <c r="M6" s="1">
        <f>MIN(Survivors!$B$11,G6+J6)</f>
        <v>1154.58</v>
      </c>
      <c r="N6" s="1">
        <f>G6+K6</f>
        <v>1350.1440000000002</v>
      </c>
    </row>
    <row r="7" spans="1:21" x14ac:dyDescent="0.25">
      <c r="A7" t="s">
        <v>45</v>
      </c>
      <c r="G7" s="1">
        <f>G6+G6*60*Survivors!E5</f>
        <v>994</v>
      </c>
      <c r="I7" s="1">
        <f>Survivors!B10</f>
        <v>600</v>
      </c>
      <c r="J7" s="1">
        <f>Survivors!B16</f>
        <v>650.14400000000012</v>
      </c>
      <c r="K7" s="1">
        <f>Math!D19</f>
        <v>454.57999999999993</v>
      </c>
      <c r="M7" s="1">
        <f>MIN(Survivors!$B$11*(1+60*Survivors!$E$5),G7+K7)</f>
        <v>1448.58</v>
      </c>
      <c r="N7" s="1">
        <f>G7+K7</f>
        <v>1448.58</v>
      </c>
    </row>
    <row r="8" spans="1:21" x14ac:dyDescent="0.25">
      <c r="B8" s="1"/>
    </row>
    <row r="9" spans="1:21" x14ac:dyDescent="0.25">
      <c r="B9" s="1"/>
    </row>
    <row r="10" spans="1:21" x14ac:dyDescent="0.25">
      <c r="A10" t="s">
        <v>0</v>
      </c>
      <c r="B10" t="s">
        <v>1</v>
      </c>
      <c r="C10" s="1" t="str">
        <f>A5</f>
        <v>Pension @ 60 with CPP contributions to 60</v>
      </c>
      <c r="I10" s="1" t="str">
        <f>A6</f>
        <v>Pension @ 65 with CPP contributions to 65</v>
      </c>
      <c r="M10" s="1"/>
      <c r="P10" s="1" t="str">
        <f>A7</f>
        <v>Pension @ 70 with CPP contributions to 70</v>
      </c>
      <c r="Q10" s="1"/>
      <c r="R10" s="1"/>
      <c r="S10" s="1"/>
      <c r="T10" s="1"/>
    </row>
    <row r="11" spans="1:21" x14ac:dyDescent="0.25">
      <c r="C11" s="1" t="s">
        <v>2</v>
      </c>
      <c r="D11" s="1" t="s">
        <v>34</v>
      </c>
      <c r="E11" s="1" t="s">
        <v>37</v>
      </c>
      <c r="F11" s="1" t="s">
        <v>38</v>
      </c>
      <c r="G11" s="1" t="s">
        <v>39</v>
      </c>
      <c r="I11" s="1" t="s">
        <v>2</v>
      </c>
      <c r="J11" s="1" t="s">
        <v>34</v>
      </c>
      <c r="K11" s="1" t="s">
        <v>37</v>
      </c>
      <c r="L11" s="1" t="s">
        <v>38</v>
      </c>
      <c r="M11" s="1" t="s">
        <v>39</v>
      </c>
      <c r="N11" s="1" t="s">
        <v>3</v>
      </c>
      <c r="P11" s="1" t="s">
        <v>2</v>
      </c>
      <c r="Q11" s="1" t="s">
        <v>34</v>
      </c>
      <c r="R11" s="1" t="s">
        <v>37</v>
      </c>
      <c r="S11" s="1" t="s">
        <v>38</v>
      </c>
      <c r="T11" s="1" t="s">
        <v>39</v>
      </c>
      <c r="U11" s="1" t="s">
        <v>3</v>
      </c>
    </row>
    <row r="12" spans="1:21" x14ac:dyDescent="0.25">
      <c r="A12">
        <f>YEAR(DATE(YEAR(Survivors!B5)+60,MONTH(Survivors!B5),DAY(Survivors!B5)))</f>
        <v>2017</v>
      </c>
      <c r="B12">
        <v>60</v>
      </c>
      <c r="C12" s="1">
        <f>J5</f>
        <v>495.97695999999996</v>
      </c>
      <c r="D12" s="1">
        <f>G5</f>
        <v>448</v>
      </c>
      <c r="E12" s="1">
        <f>C12+D12</f>
        <v>943.97695999999996</v>
      </c>
      <c r="F12" s="1">
        <f>E12*12</f>
        <v>11327.72352</v>
      </c>
      <c r="G12" s="1">
        <f>SUM($F$12:F12)</f>
        <v>11327.72352</v>
      </c>
      <c r="I12" s="1">
        <f>I6</f>
        <v>600</v>
      </c>
      <c r="J12" s="1">
        <v>0</v>
      </c>
      <c r="K12" s="1">
        <f>I12+J12</f>
        <v>600</v>
      </c>
      <c r="L12" s="1">
        <f>K12*12</f>
        <v>7200</v>
      </c>
      <c r="M12" s="1">
        <f>SUM($L$12:L12)</f>
        <v>7200</v>
      </c>
      <c r="N12" s="1">
        <f>$G12-M12</f>
        <v>4127.7235199999996</v>
      </c>
      <c r="P12" s="1">
        <f>I7</f>
        <v>600</v>
      </c>
      <c r="Q12" s="1">
        <v>0</v>
      </c>
      <c r="R12" s="1">
        <f t="shared" ref="R12:R21" si="0">P12+Q12</f>
        <v>600</v>
      </c>
      <c r="S12" s="1">
        <f>R12*12</f>
        <v>7200</v>
      </c>
      <c r="T12" s="1">
        <f>SUM($S$12:S12)</f>
        <v>7200</v>
      </c>
      <c r="U12" s="1">
        <f t="shared" ref="U12:U42" si="1">$G12-T12</f>
        <v>4127.7235199999996</v>
      </c>
    </row>
    <row r="13" spans="1:21" x14ac:dyDescent="0.25">
      <c r="A13">
        <f>A12+1</f>
        <v>2018</v>
      </c>
      <c r="B13">
        <v>61</v>
      </c>
      <c r="C13" s="1">
        <f>C12</f>
        <v>495.97695999999996</v>
      </c>
      <c r="D13" s="1">
        <f>D12</f>
        <v>448</v>
      </c>
      <c r="E13" s="1">
        <f>E12</f>
        <v>943.97695999999996</v>
      </c>
      <c r="F13" s="1">
        <f t="shared" ref="F13:F42" si="2">E13*12</f>
        <v>11327.72352</v>
      </c>
      <c r="G13" s="1">
        <f>SUM($F$12:F13)</f>
        <v>22655.447039999999</v>
      </c>
      <c r="I13" s="1">
        <f>I12</f>
        <v>600</v>
      </c>
      <c r="J13" s="1">
        <v>0</v>
      </c>
      <c r="K13" s="1">
        <f>I13+J13</f>
        <v>600</v>
      </c>
      <c r="L13" s="1">
        <f t="shared" ref="L13:L42" si="3">K13*12</f>
        <v>7200</v>
      </c>
      <c r="M13" s="1">
        <f>SUM($L$12:L13)</f>
        <v>14400</v>
      </c>
      <c r="N13" s="1">
        <f t="shared" ref="N13:N42" si="4">$G13-M13</f>
        <v>8255.4470399999991</v>
      </c>
      <c r="P13" s="1">
        <f>P12</f>
        <v>600</v>
      </c>
      <c r="Q13" s="1">
        <v>0</v>
      </c>
      <c r="R13" s="1">
        <f t="shared" si="0"/>
        <v>600</v>
      </c>
      <c r="S13" s="1">
        <f t="shared" ref="S13:S42" si="5">R13*12</f>
        <v>7200</v>
      </c>
      <c r="T13" s="1">
        <f>SUM($S$12:S13)</f>
        <v>14400</v>
      </c>
      <c r="U13" s="1">
        <f t="shared" si="1"/>
        <v>8255.4470399999991</v>
      </c>
    </row>
    <row r="14" spans="1:21" x14ac:dyDescent="0.25">
      <c r="A14">
        <f t="shared" ref="A14:A42" si="6">A13+1</f>
        <v>2019</v>
      </c>
      <c r="B14">
        <v>62</v>
      </c>
      <c r="C14" s="1">
        <f t="shared" ref="C14:E42" si="7">C13</f>
        <v>495.97695999999996</v>
      </c>
      <c r="D14" s="1">
        <f t="shared" si="7"/>
        <v>448</v>
      </c>
      <c r="E14" s="1">
        <f t="shared" si="7"/>
        <v>943.97695999999996</v>
      </c>
      <c r="F14" s="1">
        <f t="shared" si="2"/>
        <v>11327.72352</v>
      </c>
      <c r="G14" s="1">
        <f>SUM($F$12:F14)</f>
        <v>33983.170559999999</v>
      </c>
      <c r="I14" s="1">
        <f t="shared" ref="I14:I42" si="8">I13</f>
        <v>600</v>
      </c>
      <c r="J14" s="1">
        <v>0</v>
      </c>
      <c r="K14" s="1">
        <f>I14+J14</f>
        <v>600</v>
      </c>
      <c r="L14" s="1">
        <f t="shared" si="3"/>
        <v>7200</v>
      </c>
      <c r="M14" s="1">
        <f>SUM($L$12:L14)</f>
        <v>21600</v>
      </c>
      <c r="N14" s="1">
        <f t="shared" si="4"/>
        <v>12383.170559999999</v>
      </c>
      <c r="P14" s="1">
        <f t="shared" ref="P14:P21" si="9">P13</f>
        <v>600</v>
      </c>
      <c r="Q14" s="1">
        <v>0</v>
      </c>
      <c r="R14" s="1">
        <f t="shared" si="0"/>
        <v>600</v>
      </c>
      <c r="S14" s="1">
        <f t="shared" si="5"/>
        <v>7200</v>
      </c>
      <c r="T14" s="1">
        <f>SUM($S$12:S14)</f>
        <v>21600</v>
      </c>
      <c r="U14" s="1">
        <f t="shared" si="1"/>
        <v>12383.170559999999</v>
      </c>
    </row>
    <row r="15" spans="1:21" x14ac:dyDescent="0.25">
      <c r="A15">
        <f t="shared" si="6"/>
        <v>2020</v>
      </c>
      <c r="B15">
        <v>63</v>
      </c>
      <c r="C15" s="1">
        <f t="shared" si="7"/>
        <v>495.97695999999996</v>
      </c>
      <c r="D15" s="1">
        <f t="shared" si="7"/>
        <v>448</v>
      </c>
      <c r="E15" s="1">
        <f t="shared" si="7"/>
        <v>943.97695999999996</v>
      </c>
      <c r="F15" s="1">
        <f t="shared" si="2"/>
        <v>11327.72352</v>
      </c>
      <c r="G15" s="1">
        <f>SUM($F$12:F15)</f>
        <v>45310.894079999998</v>
      </c>
      <c r="I15" s="1">
        <f t="shared" si="8"/>
        <v>600</v>
      </c>
      <c r="J15" s="1">
        <v>0</v>
      </c>
      <c r="K15" s="1">
        <f>I15+J15</f>
        <v>600</v>
      </c>
      <c r="L15" s="1">
        <f t="shared" si="3"/>
        <v>7200</v>
      </c>
      <c r="M15" s="1">
        <f>SUM($L$12:L15)</f>
        <v>28800</v>
      </c>
      <c r="N15" s="1">
        <f t="shared" si="4"/>
        <v>16510.894079999998</v>
      </c>
      <c r="P15" s="1">
        <f t="shared" si="9"/>
        <v>600</v>
      </c>
      <c r="Q15" s="1">
        <v>0</v>
      </c>
      <c r="R15" s="1">
        <f t="shared" si="0"/>
        <v>600</v>
      </c>
      <c r="S15" s="1">
        <f t="shared" si="5"/>
        <v>7200</v>
      </c>
      <c r="T15" s="1">
        <f>SUM($S$12:S15)</f>
        <v>28800</v>
      </c>
      <c r="U15" s="1">
        <f t="shared" si="1"/>
        <v>16510.894079999998</v>
      </c>
    </row>
    <row r="16" spans="1:21" x14ac:dyDescent="0.25">
      <c r="A16">
        <f t="shared" si="6"/>
        <v>2021</v>
      </c>
      <c r="B16">
        <v>64</v>
      </c>
      <c r="C16" s="1">
        <f t="shared" si="7"/>
        <v>495.97695999999996</v>
      </c>
      <c r="D16" s="1">
        <f t="shared" si="7"/>
        <v>448</v>
      </c>
      <c r="E16" s="1">
        <f t="shared" si="7"/>
        <v>943.97695999999996</v>
      </c>
      <c r="F16" s="1">
        <f t="shared" si="2"/>
        <v>11327.72352</v>
      </c>
      <c r="G16" s="1">
        <f>SUM($F$12:F16)</f>
        <v>56638.617599999998</v>
      </c>
      <c r="I16" s="1">
        <f t="shared" si="8"/>
        <v>600</v>
      </c>
      <c r="J16" s="1">
        <v>0</v>
      </c>
      <c r="K16" s="1">
        <f>I16+J16</f>
        <v>600</v>
      </c>
      <c r="L16" s="1">
        <f t="shared" si="3"/>
        <v>7200</v>
      </c>
      <c r="M16" s="1">
        <f>SUM($L$12:L16)</f>
        <v>36000</v>
      </c>
      <c r="N16" s="1">
        <f t="shared" si="4"/>
        <v>20638.617599999998</v>
      </c>
      <c r="P16" s="1">
        <f t="shared" si="9"/>
        <v>600</v>
      </c>
      <c r="Q16" s="1">
        <v>0</v>
      </c>
      <c r="R16" s="1">
        <f t="shared" si="0"/>
        <v>600</v>
      </c>
      <c r="S16" s="1">
        <f t="shared" si="5"/>
        <v>7200</v>
      </c>
      <c r="T16" s="1">
        <f>SUM($S$12:S16)</f>
        <v>36000</v>
      </c>
      <c r="U16" s="1">
        <f t="shared" si="1"/>
        <v>20638.617599999998</v>
      </c>
    </row>
    <row r="17" spans="1:21" x14ac:dyDescent="0.25">
      <c r="A17">
        <f t="shared" si="6"/>
        <v>2022</v>
      </c>
      <c r="B17">
        <v>65</v>
      </c>
      <c r="C17" s="1">
        <f>K5</f>
        <v>483.70713600000011</v>
      </c>
      <c r="D17" s="1">
        <f t="shared" si="7"/>
        <v>448</v>
      </c>
      <c r="E17" s="1">
        <f>M5</f>
        <v>931.70713600000011</v>
      </c>
      <c r="F17" s="1">
        <f t="shared" si="2"/>
        <v>11180.485632000002</v>
      </c>
      <c r="G17" s="1">
        <f>SUM($F$12:F17)</f>
        <v>67819.103231999994</v>
      </c>
      <c r="I17" s="1">
        <f>J6</f>
        <v>650.14400000000012</v>
      </c>
      <c r="J17" s="1">
        <f>G6</f>
        <v>700</v>
      </c>
      <c r="K17" s="1">
        <f>M6</f>
        <v>1154.58</v>
      </c>
      <c r="L17" s="1">
        <f t="shared" si="3"/>
        <v>13854.96</v>
      </c>
      <c r="M17" s="1">
        <f>SUM($L$12:L17)</f>
        <v>49854.96</v>
      </c>
      <c r="N17" s="1">
        <f t="shared" si="4"/>
        <v>17964.143231999995</v>
      </c>
      <c r="P17" s="1">
        <f>J6</f>
        <v>650.14400000000012</v>
      </c>
      <c r="Q17" s="1">
        <f>Q16</f>
        <v>0</v>
      </c>
      <c r="R17" s="1">
        <f t="shared" si="0"/>
        <v>650.14400000000012</v>
      </c>
      <c r="S17" s="1">
        <f t="shared" si="5"/>
        <v>7801.728000000001</v>
      </c>
      <c r="T17" s="1">
        <f>SUM($S$12:S17)</f>
        <v>43801.728000000003</v>
      </c>
      <c r="U17" s="1">
        <f t="shared" si="1"/>
        <v>24017.375231999991</v>
      </c>
    </row>
    <row r="18" spans="1:21" x14ac:dyDescent="0.25">
      <c r="A18">
        <f t="shared" si="6"/>
        <v>2023</v>
      </c>
      <c r="B18">
        <v>66</v>
      </c>
      <c r="C18" s="1">
        <f t="shared" si="7"/>
        <v>483.70713600000011</v>
      </c>
      <c r="D18" s="1">
        <f t="shared" si="7"/>
        <v>448</v>
      </c>
      <c r="E18" s="1">
        <f t="shared" si="7"/>
        <v>931.70713600000011</v>
      </c>
      <c r="F18" s="1">
        <f t="shared" si="2"/>
        <v>11180.485632000002</v>
      </c>
      <c r="G18" s="1">
        <f>SUM($F$12:F18)</f>
        <v>78999.58886399999</v>
      </c>
      <c r="I18" s="1">
        <f t="shared" si="8"/>
        <v>650.14400000000012</v>
      </c>
      <c r="J18" s="1">
        <f>J17</f>
        <v>700</v>
      </c>
      <c r="K18" s="1">
        <f>K17</f>
        <v>1154.58</v>
      </c>
      <c r="L18" s="1">
        <f t="shared" si="3"/>
        <v>13854.96</v>
      </c>
      <c r="M18" s="1">
        <f>SUM($L$12:L18)</f>
        <v>63709.919999999998</v>
      </c>
      <c r="N18" s="1">
        <f t="shared" si="4"/>
        <v>15289.668863999992</v>
      </c>
      <c r="P18" s="1">
        <f t="shared" si="9"/>
        <v>650.14400000000012</v>
      </c>
      <c r="Q18" s="1">
        <f>Q17</f>
        <v>0</v>
      </c>
      <c r="R18" s="1">
        <f t="shared" si="0"/>
        <v>650.14400000000012</v>
      </c>
      <c r="S18" s="1">
        <f t="shared" si="5"/>
        <v>7801.728000000001</v>
      </c>
      <c r="T18" s="1">
        <f>SUM($S$12:S18)</f>
        <v>51603.456000000006</v>
      </c>
      <c r="U18" s="1">
        <f t="shared" si="1"/>
        <v>27396.132863999985</v>
      </c>
    </row>
    <row r="19" spans="1:21" x14ac:dyDescent="0.25">
      <c r="A19">
        <f t="shared" si="6"/>
        <v>2024</v>
      </c>
      <c r="B19">
        <v>67</v>
      </c>
      <c r="C19" s="1">
        <f t="shared" si="7"/>
        <v>483.70713600000011</v>
      </c>
      <c r="D19" s="1">
        <f t="shared" si="7"/>
        <v>448</v>
      </c>
      <c r="E19" s="1">
        <f t="shared" si="7"/>
        <v>931.70713600000011</v>
      </c>
      <c r="F19" s="1">
        <f t="shared" si="2"/>
        <v>11180.485632000002</v>
      </c>
      <c r="G19" s="1">
        <f>SUM($F$12:F19)</f>
        <v>90180.074495999987</v>
      </c>
      <c r="I19" s="1">
        <f t="shared" si="8"/>
        <v>650.14400000000012</v>
      </c>
      <c r="J19" s="1">
        <f t="shared" ref="J19:K42" si="10">J18</f>
        <v>700</v>
      </c>
      <c r="K19" s="1">
        <f t="shared" si="10"/>
        <v>1154.58</v>
      </c>
      <c r="L19" s="1">
        <f t="shared" si="3"/>
        <v>13854.96</v>
      </c>
      <c r="M19" s="1">
        <f>SUM($L$12:L19)</f>
        <v>77564.88</v>
      </c>
      <c r="N19" s="1">
        <f t="shared" si="4"/>
        <v>12615.194495999982</v>
      </c>
      <c r="P19" s="1">
        <f t="shared" si="9"/>
        <v>650.14400000000012</v>
      </c>
      <c r="Q19" s="1">
        <f t="shared" ref="P19:Q42" si="11">Q18</f>
        <v>0</v>
      </c>
      <c r="R19" s="1">
        <f t="shared" si="0"/>
        <v>650.14400000000012</v>
      </c>
      <c r="S19" s="1">
        <f t="shared" si="5"/>
        <v>7801.728000000001</v>
      </c>
      <c r="T19" s="1">
        <f>SUM($S$12:S19)</f>
        <v>59405.184000000008</v>
      </c>
      <c r="U19" s="1">
        <f t="shared" si="1"/>
        <v>30774.890495999978</v>
      </c>
    </row>
    <row r="20" spans="1:21" x14ac:dyDescent="0.25">
      <c r="A20">
        <f t="shared" si="6"/>
        <v>2025</v>
      </c>
      <c r="B20">
        <v>68</v>
      </c>
      <c r="C20" s="1">
        <f t="shared" si="7"/>
        <v>483.70713600000011</v>
      </c>
      <c r="D20" s="1">
        <f t="shared" si="7"/>
        <v>448</v>
      </c>
      <c r="E20" s="1">
        <f t="shared" si="7"/>
        <v>931.70713600000011</v>
      </c>
      <c r="F20" s="1">
        <f t="shared" si="2"/>
        <v>11180.485632000002</v>
      </c>
      <c r="G20" s="1">
        <f>SUM($F$12:F20)</f>
        <v>101360.56012799998</v>
      </c>
      <c r="I20" s="1">
        <f t="shared" si="8"/>
        <v>650.14400000000012</v>
      </c>
      <c r="J20" s="1">
        <f t="shared" si="10"/>
        <v>700</v>
      </c>
      <c r="K20" s="1">
        <f t="shared" si="10"/>
        <v>1154.58</v>
      </c>
      <c r="L20" s="1">
        <f t="shared" si="3"/>
        <v>13854.96</v>
      </c>
      <c r="M20" s="1">
        <f>SUM($L$12:L20)</f>
        <v>91419.839999999997</v>
      </c>
      <c r="N20" s="1">
        <f t="shared" si="4"/>
        <v>9940.7201279999863</v>
      </c>
      <c r="P20" s="1">
        <f t="shared" si="9"/>
        <v>650.14400000000012</v>
      </c>
      <c r="Q20" s="1">
        <f t="shared" si="11"/>
        <v>0</v>
      </c>
      <c r="R20" s="1">
        <f t="shared" si="0"/>
        <v>650.14400000000012</v>
      </c>
      <c r="S20" s="1">
        <f t="shared" si="5"/>
        <v>7801.728000000001</v>
      </c>
      <c r="T20" s="1">
        <f>SUM($S$12:S20)</f>
        <v>67206.912000000011</v>
      </c>
      <c r="U20" s="1">
        <f t="shared" si="1"/>
        <v>34153.648127999972</v>
      </c>
    </row>
    <row r="21" spans="1:21" x14ac:dyDescent="0.25">
      <c r="A21">
        <f t="shared" si="6"/>
        <v>2026</v>
      </c>
      <c r="B21">
        <v>69</v>
      </c>
      <c r="C21" s="1">
        <f t="shared" si="7"/>
        <v>483.70713600000011</v>
      </c>
      <c r="D21" s="1">
        <f t="shared" si="7"/>
        <v>448</v>
      </c>
      <c r="E21" s="1">
        <f t="shared" si="7"/>
        <v>931.70713600000011</v>
      </c>
      <c r="F21" s="1">
        <f t="shared" si="2"/>
        <v>11180.485632000002</v>
      </c>
      <c r="G21" s="1">
        <f>SUM($F$12:F21)</f>
        <v>112541.04575999998</v>
      </c>
      <c r="I21" s="1">
        <f t="shared" si="8"/>
        <v>650.14400000000012</v>
      </c>
      <c r="J21" s="1">
        <f t="shared" si="10"/>
        <v>700</v>
      </c>
      <c r="K21" s="1">
        <f t="shared" si="10"/>
        <v>1154.58</v>
      </c>
      <c r="L21" s="1">
        <f t="shared" si="3"/>
        <v>13854.96</v>
      </c>
      <c r="M21" s="1">
        <f>SUM($L$12:L21)</f>
        <v>105274.79999999999</v>
      </c>
      <c r="N21" s="1">
        <f t="shared" si="4"/>
        <v>7266.2457599999907</v>
      </c>
      <c r="P21" s="1">
        <f t="shared" si="9"/>
        <v>650.14400000000012</v>
      </c>
      <c r="Q21" s="1">
        <f t="shared" si="11"/>
        <v>0</v>
      </c>
      <c r="R21" s="1">
        <f t="shared" si="0"/>
        <v>650.14400000000012</v>
      </c>
      <c r="S21" s="1">
        <f t="shared" si="5"/>
        <v>7801.728000000001</v>
      </c>
      <c r="T21" s="1">
        <f>SUM($S$12:S21)</f>
        <v>75008.640000000014</v>
      </c>
      <c r="U21" s="1">
        <f t="shared" si="1"/>
        <v>37532.405759999965</v>
      </c>
    </row>
    <row r="22" spans="1:21" x14ac:dyDescent="0.25">
      <c r="A22">
        <f t="shared" si="6"/>
        <v>2027</v>
      </c>
      <c r="B22">
        <v>70</v>
      </c>
      <c r="C22" s="1">
        <f t="shared" si="7"/>
        <v>483.70713600000011</v>
      </c>
      <c r="D22" s="1">
        <f t="shared" si="7"/>
        <v>448</v>
      </c>
      <c r="E22" s="1">
        <f t="shared" si="7"/>
        <v>931.70713600000011</v>
      </c>
      <c r="F22" s="1">
        <f t="shared" si="2"/>
        <v>11180.485632000002</v>
      </c>
      <c r="G22" s="1">
        <f>SUM($F$12:F22)</f>
        <v>123721.53139199998</v>
      </c>
      <c r="I22" s="1">
        <f t="shared" si="8"/>
        <v>650.14400000000012</v>
      </c>
      <c r="J22" s="1">
        <f t="shared" si="10"/>
        <v>700</v>
      </c>
      <c r="K22" s="1">
        <f t="shared" si="10"/>
        <v>1154.58</v>
      </c>
      <c r="L22" s="1">
        <f t="shared" si="3"/>
        <v>13854.96</v>
      </c>
      <c r="M22" s="1">
        <f>SUM($L$12:L22)</f>
        <v>119129.75999999998</v>
      </c>
      <c r="N22" s="1">
        <f t="shared" si="4"/>
        <v>4591.7713919999951</v>
      </c>
      <c r="P22" s="1">
        <f>K7</f>
        <v>454.57999999999993</v>
      </c>
      <c r="Q22" s="1">
        <f>G7</f>
        <v>994</v>
      </c>
      <c r="R22" s="1">
        <f>M7</f>
        <v>1448.58</v>
      </c>
      <c r="S22" s="1">
        <f t="shared" si="5"/>
        <v>17382.96</v>
      </c>
      <c r="T22" s="1">
        <f>SUM($S$12:S22)</f>
        <v>92391.6</v>
      </c>
      <c r="U22" s="1">
        <f t="shared" si="1"/>
        <v>31329.931391999969</v>
      </c>
    </row>
    <row r="23" spans="1:21" x14ac:dyDescent="0.25">
      <c r="A23">
        <f t="shared" si="6"/>
        <v>2028</v>
      </c>
      <c r="B23">
        <v>71</v>
      </c>
      <c r="C23" s="1">
        <f t="shared" si="7"/>
        <v>483.70713600000011</v>
      </c>
      <c r="D23" s="1">
        <f t="shared" si="7"/>
        <v>448</v>
      </c>
      <c r="E23" s="1">
        <f t="shared" si="7"/>
        <v>931.70713600000011</v>
      </c>
      <c r="F23" s="1">
        <f t="shared" si="2"/>
        <v>11180.485632000002</v>
      </c>
      <c r="G23" s="1">
        <f>SUM($F$12:F23)</f>
        <v>134902.01702399997</v>
      </c>
      <c r="I23" s="1">
        <f t="shared" si="8"/>
        <v>650.14400000000012</v>
      </c>
      <c r="J23" s="1">
        <f t="shared" si="10"/>
        <v>700</v>
      </c>
      <c r="K23" s="1">
        <f t="shared" si="10"/>
        <v>1154.58</v>
      </c>
      <c r="L23" s="1">
        <f t="shared" si="3"/>
        <v>13854.96</v>
      </c>
      <c r="M23" s="1">
        <f>SUM($L$12:L23)</f>
        <v>132984.71999999997</v>
      </c>
      <c r="N23" s="1">
        <f t="shared" si="4"/>
        <v>1917.2970239999995</v>
      </c>
      <c r="P23" s="1">
        <f t="shared" si="11"/>
        <v>454.57999999999993</v>
      </c>
      <c r="Q23" s="1">
        <f t="shared" si="11"/>
        <v>994</v>
      </c>
      <c r="R23" s="1">
        <f>R22</f>
        <v>1448.58</v>
      </c>
      <c r="S23" s="1">
        <f t="shared" si="5"/>
        <v>17382.96</v>
      </c>
      <c r="T23" s="1">
        <f>SUM($S$12:S23)</f>
        <v>109774.56</v>
      </c>
      <c r="U23" s="1">
        <f t="shared" si="1"/>
        <v>25127.457023999974</v>
      </c>
    </row>
    <row r="24" spans="1:21" x14ac:dyDescent="0.25">
      <c r="A24">
        <f t="shared" si="6"/>
        <v>2029</v>
      </c>
      <c r="B24">
        <v>72</v>
      </c>
      <c r="C24" s="1">
        <f t="shared" si="7"/>
        <v>483.70713600000011</v>
      </c>
      <c r="D24" s="1">
        <f t="shared" si="7"/>
        <v>448</v>
      </c>
      <c r="E24" s="1">
        <f t="shared" si="7"/>
        <v>931.70713600000011</v>
      </c>
      <c r="F24" s="1">
        <f t="shared" si="2"/>
        <v>11180.485632000002</v>
      </c>
      <c r="G24" s="1">
        <f>SUM($F$12:F24)</f>
        <v>146082.50265599997</v>
      </c>
      <c r="I24" s="1">
        <f t="shared" si="8"/>
        <v>650.14400000000012</v>
      </c>
      <c r="J24" s="1">
        <f t="shared" si="10"/>
        <v>700</v>
      </c>
      <c r="K24" s="1">
        <f t="shared" si="10"/>
        <v>1154.58</v>
      </c>
      <c r="L24" s="1">
        <f t="shared" si="3"/>
        <v>13854.96</v>
      </c>
      <c r="M24" s="1">
        <f>SUM($L$12:L24)</f>
        <v>146839.67999999996</v>
      </c>
      <c r="N24" s="1">
        <f t="shared" si="4"/>
        <v>-757.17734399999608</v>
      </c>
      <c r="P24" s="1">
        <f t="shared" si="11"/>
        <v>454.57999999999993</v>
      </c>
      <c r="Q24" s="1">
        <f t="shared" si="11"/>
        <v>994</v>
      </c>
      <c r="R24" s="1">
        <f t="shared" ref="R24:R42" si="12">R23</f>
        <v>1448.58</v>
      </c>
      <c r="S24" s="1">
        <f t="shared" si="5"/>
        <v>17382.96</v>
      </c>
      <c r="T24" s="1">
        <f>SUM($S$12:S24)</f>
        <v>127157.51999999999</v>
      </c>
      <c r="U24" s="1">
        <f t="shared" si="1"/>
        <v>18924.982655999978</v>
      </c>
    </row>
    <row r="25" spans="1:21" x14ac:dyDescent="0.25">
      <c r="A25">
        <f t="shared" si="6"/>
        <v>2030</v>
      </c>
      <c r="B25">
        <v>73</v>
      </c>
      <c r="C25" s="1">
        <f t="shared" si="7"/>
        <v>483.70713600000011</v>
      </c>
      <c r="D25" s="1">
        <f t="shared" si="7"/>
        <v>448</v>
      </c>
      <c r="E25" s="1">
        <f t="shared" si="7"/>
        <v>931.70713600000011</v>
      </c>
      <c r="F25" s="1">
        <f t="shared" si="2"/>
        <v>11180.485632000002</v>
      </c>
      <c r="G25" s="1">
        <f>SUM($F$12:F25)</f>
        <v>157262.98828799996</v>
      </c>
      <c r="I25" s="1">
        <f t="shared" si="8"/>
        <v>650.14400000000012</v>
      </c>
      <c r="J25" s="1">
        <f t="shared" si="10"/>
        <v>700</v>
      </c>
      <c r="K25" s="1">
        <f t="shared" si="10"/>
        <v>1154.58</v>
      </c>
      <c r="L25" s="1">
        <f t="shared" si="3"/>
        <v>13854.96</v>
      </c>
      <c r="M25" s="1">
        <f>SUM($L$12:L25)</f>
        <v>160694.63999999996</v>
      </c>
      <c r="N25" s="1">
        <f t="shared" si="4"/>
        <v>-3431.6517119999917</v>
      </c>
      <c r="P25" s="1">
        <f t="shared" si="11"/>
        <v>454.57999999999993</v>
      </c>
      <c r="Q25" s="1">
        <f t="shared" si="11"/>
        <v>994</v>
      </c>
      <c r="R25" s="1">
        <f t="shared" si="12"/>
        <v>1448.58</v>
      </c>
      <c r="S25" s="1">
        <f t="shared" si="5"/>
        <v>17382.96</v>
      </c>
      <c r="T25" s="1">
        <f>SUM($S$12:S25)</f>
        <v>144540.47999999998</v>
      </c>
      <c r="U25" s="1">
        <f t="shared" si="1"/>
        <v>12722.508287999983</v>
      </c>
    </row>
    <row r="26" spans="1:21" x14ac:dyDescent="0.25">
      <c r="A26">
        <f t="shared" si="6"/>
        <v>2031</v>
      </c>
      <c r="B26">
        <v>74</v>
      </c>
      <c r="C26" s="1">
        <f t="shared" si="7"/>
        <v>483.70713600000011</v>
      </c>
      <c r="D26" s="1">
        <f t="shared" si="7"/>
        <v>448</v>
      </c>
      <c r="E26" s="1">
        <f t="shared" si="7"/>
        <v>931.70713600000011</v>
      </c>
      <c r="F26" s="1">
        <f t="shared" si="2"/>
        <v>11180.485632000002</v>
      </c>
      <c r="G26" s="1">
        <f>SUM($F$12:F26)</f>
        <v>168443.47391999996</v>
      </c>
      <c r="I26" s="1">
        <f t="shared" si="8"/>
        <v>650.14400000000012</v>
      </c>
      <c r="J26" s="1">
        <f t="shared" si="10"/>
        <v>700</v>
      </c>
      <c r="K26" s="1">
        <f t="shared" si="10"/>
        <v>1154.58</v>
      </c>
      <c r="L26" s="1">
        <f t="shared" si="3"/>
        <v>13854.96</v>
      </c>
      <c r="M26" s="1">
        <f>SUM($L$12:L26)</f>
        <v>174549.59999999995</v>
      </c>
      <c r="N26" s="1">
        <f t="shared" si="4"/>
        <v>-6106.1260799999873</v>
      </c>
      <c r="P26" s="1">
        <f t="shared" si="11"/>
        <v>454.57999999999993</v>
      </c>
      <c r="Q26" s="1">
        <f t="shared" si="11"/>
        <v>994</v>
      </c>
      <c r="R26" s="1">
        <f t="shared" si="12"/>
        <v>1448.58</v>
      </c>
      <c r="S26" s="1">
        <f t="shared" si="5"/>
        <v>17382.96</v>
      </c>
      <c r="T26" s="1">
        <f>SUM($S$12:S26)</f>
        <v>161923.43999999997</v>
      </c>
      <c r="U26" s="1">
        <f t="shared" si="1"/>
        <v>6520.0339199999871</v>
      </c>
    </row>
    <row r="27" spans="1:21" x14ac:dyDescent="0.25">
      <c r="A27">
        <f t="shared" si="6"/>
        <v>2032</v>
      </c>
      <c r="B27">
        <v>75</v>
      </c>
      <c r="C27" s="1">
        <f t="shared" si="7"/>
        <v>483.70713600000011</v>
      </c>
      <c r="D27" s="1">
        <f t="shared" si="7"/>
        <v>448</v>
      </c>
      <c r="E27" s="1">
        <f t="shared" si="7"/>
        <v>931.70713600000011</v>
      </c>
      <c r="F27" s="1">
        <f t="shared" si="2"/>
        <v>11180.485632000002</v>
      </c>
      <c r="G27" s="1">
        <f>SUM($F$12:F27)</f>
        <v>179623.95955199996</v>
      </c>
      <c r="I27" s="1">
        <f t="shared" si="8"/>
        <v>650.14400000000012</v>
      </c>
      <c r="J27" s="1">
        <f t="shared" si="10"/>
        <v>700</v>
      </c>
      <c r="K27" s="1">
        <f t="shared" si="10"/>
        <v>1154.58</v>
      </c>
      <c r="L27" s="1">
        <f t="shared" si="3"/>
        <v>13854.96</v>
      </c>
      <c r="M27" s="1">
        <f>SUM($L$12:L27)</f>
        <v>188404.55999999994</v>
      </c>
      <c r="N27" s="1">
        <f t="shared" si="4"/>
        <v>-8780.6004479999829</v>
      </c>
      <c r="P27" s="1">
        <f t="shared" si="11"/>
        <v>454.57999999999993</v>
      </c>
      <c r="Q27" s="1">
        <f t="shared" si="11"/>
        <v>994</v>
      </c>
      <c r="R27" s="1">
        <f t="shared" si="12"/>
        <v>1448.58</v>
      </c>
      <c r="S27" s="1">
        <f t="shared" si="5"/>
        <v>17382.96</v>
      </c>
      <c r="T27" s="1">
        <f>SUM($S$12:S27)</f>
        <v>179306.39999999997</v>
      </c>
      <c r="U27" s="1">
        <f t="shared" si="1"/>
        <v>317.55955199999153</v>
      </c>
    </row>
    <row r="28" spans="1:21" x14ac:dyDescent="0.25">
      <c r="A28">
        <f t="shared" si="6"/>
        <v>2033</v>
      </c>
      <c r="B28">
        <v>76</v>
      </c>
      <c r="C28" s="1">
        <f t="shared" si="7"/>
        <v>483.70713600000011</v>
      </c>
      <c r="D28" s="1">
        <f t="shared" si="7"/>
        <v>448</v>
      </c>
      <c r="E28" s="1">
        <f t="shared" si="7"/>
        <v>931.70713600000011</v>
      </c>
      <c r="F28" s="1">
        <f t="shared" si="2"/>
        <v>11180.485632000002</v>
      </c>
      <c r="G28" s="1">
        <f>SUM($F$12:F28)</f>
        <v>190804.44518399995</v>
      </c>
      <c r="I28" s="1">
        <f t="shared" si="8"/>
        <v>650.14400000000012</v>
      </c>
      <c r="J28" s="1">
        <f t="shared" si="10"/>
        <v>700</v>
      </c>
      <c r="K28" s="1">
        <f t="shared" si="10"/>
        <v>1154.58</v>
      </c>
      <c r="L28" s="1">
        <f t="shared" si="3"/>
        <v>13854.96</v>
      </c>
      <c r="M28" s="1">
        <f>SUM($L$12:L28)</f>
        <v>202259.51999999993</v>
      </c>
      <c r="N28" s="1">
        <f t="shared" si="4"/>
        <v>-11455.074815999978</v>
      </c>
      <c r="P28" s="1">
        <f t="shared" si="11"/>
        <v>454.57999999999993</v>
      </c>
      <c r="Q28" s="1">
        <f t="shared" si="11"/>
        <v>994</v>
      </c>
      <c r="R28" s="1">
        <f t="shared" si="12"/>
        <v>1448.58</v>
      </c>
      <c r="S28" s="1">
        <f t="shared" si="5"/>
        <v>17382.96</v>
      </c>
      <c r="T28" s="1">
        <f>SUM($S$12:S28)</f>
        <v>196689.35999999996</v>
      </c>
      <c r="U28" s="1">
        <f t="shared" si="1"/>
        <v>-5884.9148160000041</v>
      </c>
    </row>
    <row r="29" spans="1:21" x14ac:dyDescent="0.25">
      <c r="A29">
        <f t="shared" si="6"/>
        <v>2034</v>
      </c>
      <c r="B29">
        <v>77</v>
      </c>
      <c r="C29" s="1">
        <f t="shared" si="7"/>
        <v>483.70713600000011</v>
      </c>
      <c r="D29" s="1">
        <f t="shared" si="7"/>
        <v>448</v>
      </c>
      <c r="E29" s="1">
        <f t="shared" si="7"/>
        <v>931.70713600000011</v>
      </c>
      <c r="F29" s="1">
        <f t="shared" si="2"/>
        <v>11180.485632000002</v>
      </c>
      <c r="G29" s="1">
        <f>SUM($F$12:F29)</f>
        <v>201984.93081599995</v>
      </c>
      <c r="I29" s="1">
        <f t="shared" si="8"/>
        <v>650.14400000000012</v>
      </c>
      <c r="J29" s="1">
        <f t="shared" si="10"/>
        <v>700</v>
      </c>
      <c r="K29" s="1">
        <f t="shared" si="10"/>
        <v>1154.58</v>
      </c>
      <c r="L29" s="1">
        <f t="shared" si="3"/>
        <v>13854.96</v>
      </c>
      <c r="M29" s="1">
        <f>SUM($L$12:L29)</f>
        <v>216114.47999999992</v>
      </c>
      <c r="N29" s="1">
        <f t="shared" si="4"/>
        <v>-14129.549183999974</v>
      </c>
      <c r="P29" s="1">
        <f t="shared" si="11"/>
        <v>454.57999999999993</v>
      </c>
      <c r="Q29" s="1">
        <f t="shared" si="11"/>
        <v>994</v>
      </c>
      <c r="R29" s="1">
        <f t="shared" si="12"/>
        <v>1448.58</v>
      </c>
      <c r="S29" s="1">
        <f t="shared" si="5"/>
        <v>17382.96</v>
      </c>
      <c r="T29" s="1">
        <f>SUM($S$12:S29)</f>
        <v>214072.31999999995</v>
      </c>
      <c r="U29" s="1">
        <f t="shared" si="1"/>
        <v>-12087.389184</v>
      </c>
    </row>
    <row r="30" spans="1:21" x14ac:dyDescent="0.25">
      <c r="A30">
        <f t="shared" si="6"/>
        <v>2035</v>
      </c>
      <c r="B30">
        <v>78</v>
      </c>
      <c r="C30" s="1">
        <f t="shared" si="7"/>
        <v>483.70713600000011</v>
      </c>
      <c r="D30" s="1">
        <f t="shared" si="7"/>
        <v>448</v>
      </c>
      <c r="E30" s="1">
        <f t="shared" si="7"/>
        <v>931.70713600000011</v>
      </c>
      <c r="F30" s="1">
        <f t="shared" si="2"/>
        <v>11180.485632000002</v>
      </c>
      <c r="G30" s="1">
        <f>SUM($F$12:F30)</f>
        <v>213165.41644799995</v>
      </c>
      <c r="I30" s="1">
        <f t="shared" si="8"/>
        <v>650.14400000000012</v>
      </c>
      <c r="J30" s="1">
        <f t="shared" si="10"/>
        <v>700</v>
      </c>
      <c r="K30" s="1">
        <f t="shared" si="10"/>
        <v>1154.58</v>
      </c>
      <c r="L30" s="1">
        <f t="shared" si="3"/>
        <v>13854.96</v>
      </c>
      <c r="M30" s="1">
        <f>SUM($L$12:L30)</f>
        <v>229969.43999999992</v>
      </c>
      <c r="N30" s="1">
        <f t="shared" si="4"/>
        <v>-16804.02355199997</v>
      </c>
      <c r="P30" s="1">
        <f t="shared" si="11"/>
        <v>454.57999999999993</v>
      </c>
      <c r="Q30" s="1">
        <f t="shared" si="11"/>
        <v>994</v>
      </c>
      <c r="R30" s="1">
        <f t="shared" si="12"/>
        <v>1448.58</v>
      </c>
      <c r="S30" s="1">
        <f t="shared" si="5"/>
        <v>17382.96</v>
      </c>
      <c r="T30" s="1">
        <f>SUM($S$12:S30)</f>
        <v>231455.27999999994</v>
      </c>
      <c r="U30" s="1">
        <f t="shared" si="1"/>
        <v>-18289.863551999995</v>
      </c>
    </row>
    <row r="31" spans="1:21" x14ac:dyDescent="0.25">
      <c r="A31">
        <f t="shared" si="6"/>
        <v>2036</v>
      </c>
      <c r="B31">
        <v>79</v>
      </c>
      <c r="C31" s="1">
        <f t="shared" si="7"/>
        <v>483.70713600000011</v>
      </c>
      <c r="D31" s="1">
        <f t="shared" si="7"/>
        <v>448</v>
      </c>
      <c r="E31" s="1">
        <f t="shared" si="7"/>
        <v>931.70713600000011</v>
      </c>
      <c r="F31" s="1">
        <f t="shared" si="2"/>
        <v>11180.485632000002</v>
      </c>
      <c r="G31" s="1">
        <f>SUM($F$12:F31)</f>
        <v>224345.90207999994</v>
      </c>
      <c r="I31" s="1">
        <f t="shared" si="8"/>
        <v>650.14400000000012</v>
      </c>
      <c r="J31" s="1">
        <f t="shared" si="10"/>
        <v>700</v>
      </c>
      <c r="K31" s="1">
        <f t="shared" si="10"/>
        <v>1154.58</v>
      </c>
      <c r="L31" s="1">
        <f t="shared" si="3"/>
        <v>13854.96</v>
      </c>
      <c r="M31" s="1">
        <f>SUM($L$12:L31)</f>
        <v>243824.39999999991</v>
      </c>
      <c r="N31" s="1">
        <f t="shared" si="4"/>
        <v>-19478.497919999965</v>
      </c>
      <c r="P31" s="1">
        <f t="shared" si="11"/>
        <v>454.57999999999993</v>
      </c>
      <c r="Q31" s="1">
        <f t="shared" si="11"/>
        <v>994</v>
      </c>
      <c r="R31" s="1">
        <f t="shared" si="12"/>
        <v>1448.58</v>
      </c>
      <c r="S31" s="1">
        <f t="shared" si="5"/>
        <v>17382.96</v>
      </c>
      <c r="T31" s="1">
        <f>SUM($S$12:S31)</f>
        <v>248838.23999999993</v>
      </c>
      <c r="U31" s="1">
        <f t="shared" si="1"/>
        <v>-24492.337919999991</v>
      </c>
    </row>
    <row r="32" spans="1:21" x14ac:dyDescent="0.25">
      <c r="A32">
        <f t="shared" si="6"/>
        <v>2037</v>
      </c>
      <c r="B32">
        <v>80</v>
      </c>
      <c r="C32" s="1">
        <f t="shared" si="7"/>
        <v>483.70713600000011</v>
      </c>
      <c r="D32" s="1">
        <f t="shared" si="7"/>
        <v>448</v>
      </c>
      <c r="E32" s="1">
        <f t="shared" si="7"/>
        <v>931.70713600000011</v>
      </c>
      <c r="F32" s="1">
        <f t="shared" si="2"/>
        <v>11180.485632000002</v>
      </c>
      <c r="G32" s="1">
        <f>SUM($F$12:F32)</f>
        <v>235526.38771199994</v>
      </c>
      <c r="I32" s="1">
        <f t="shared" si="8"/>
        <v>650.14400000000012</v>
      </c>
      <c r="J32" s="1">
        <f t="shared" si="10"/>
        <v>700</v>
      </c>
      <c r="K32" s="1">
        <f t="shared" si="10"/>
        <v>1154.58</v>
      </c>
      <c r="L32" s="1">
        <f t="shared" si="3"/>
        <v>13854.96</v>
      </c>
      <c r="M32" s="1">
        <f>SUM($L$12:L32)</f>
        <v>257679.3599999999</v>
      </c>
      <c r="N32" s="1">
        <f t="shared" si="4"/>
        <v>-22152.972287999961</v>
      </c>
      <c r="P32" s="1">
        <f t="shared" si="11"/>
        <v>454.57999999999993</v>
      </c>
      <c r="Q32" s="1">
        <f t="shared" si="11"/>
        <v>994</v>
      </c>
      <c r="R32" s="1">
        <f t="shared" si="12"/>
        <v>1448.58</v>
      </c>
      <c r="S32" s="1">
        <f t="shared" si="5"/>
        <v>17382.96</v>
      </c>
      <c r="T32" s="1">
        <f>SUM($S$12:S32)</f>
        <v>266221.19999999995</v>
      </c>
      <c r="U32" s="1">
        <f t="shared" si="1"/>
        <v>-30694.812288000016</v>
      </c>
    </row>
    <row r="33" spans="1:21" x14ac:dyDescent="0.25">
      <c r="A33">
        <f t="shared" si="6"/>
        <v>2038</v>
      </c>
      <c r="B33">
        <v>81</v>
      </c>
      <c r="C33" s="1">
        <f t="shared" si="7"/>
        <v>483.70713600000011</v>
      </c>
      <c r="D33" s="1">
        <f t="shared" si="7"/>
        <v>448</v>
      </c>
      <c r="E33" s="1">
        <f t="shared" si="7"/>
        <v>931.70713600000011</v>
      </c>
      <c r="F33" s="1">
        <f t="shared" si="2"/>
        <v>11180.485632000002</v>
      </c>
      <c r="G33" s="1">
        <f>SUM($F$12:F33)</f>
        <v>246706.87334399993</v>
      </c>
      <c r="I33" s="1">
        <f t="shared" si="8"/>
        <v>650.14400000000012</v>
      </c>
      <c r="J33" s="1">
        <f t="shared" si="10"/>
        <v>700</v>
      </c>
      <c r="K33" s="1">
        <f t="shared" si="10"/>
        <v>1154.58</v>
      </c>
      <c r="L33" s="1">
        <f t="shared" si="3"/>
        <v>13854.96</v>
      </c>
      <c r="M33" s="1">
        <f>SUM($L$12:L33)</f>
        <v>271534.31999999989</v>
      </c>
      <c r="N33" s="1">
        <f t="shared" si="4"/>
        <v>-24827.446655999956</v>
      </c>
      <c r="P33" s="1">
        <f t="shared" si="11"/>
        <v>454.57999999999993</v>
      </c>
      <c r="Q33" s="1">
        <f t="shared" si="11"/>
        <v>994</v>
      </c>
      <c r="R33" s="1">
        <f t="shared" si="12"/>
        <v>1448.58</v>
      </c>
      <c r="S33" s="1">
        <f t="shared" si="5"/>
        <v>17382.96</v>
      </c>
      <c r="T33" s="1">
        <f>SUM($S$12:S33)</f>
        <v>283604.15999999997</v>
      </c>
      <c r="U33" s="1">
        <f t="shared" si="1"/>
        <v>-36897.28665600004</v>
      </c>
    </row>
    <row r="34" spans="1:21" x14ac:dyDescent="0.25">
      <c r="A34">
        <f t="shared" si="6"/>
        <v>2039</v>
      </c>
      <c r="B34">
        <v>82</v>
      </c>
      <c r="C34" s="1">
        <f t="shared" si="7"/>
        <v>483.70713600000011</v>
      </c>
      <c r="D34" s="1">
        <f t="shared" si="7"/>
        <v>448</v>
      </c>
      <c r="E34" s="1">
        <f t="shared" si="7"/>
        <v>931.70713600000011</v>
      </c>
      <c r="F34" s="1">
        <f t="shared" si="2"/>
        <v>11180.485632000002</v>
      </c>
      <c r="G34" s="1">
        <f>SUM($F$12:F34)</f>
        <v>257887.35897599993</v>
      </c>
      <c r="I34" s="1">
        <f t="shared" si="8"/>
        <v>650.14400000000012</v>
      </c>
      <c r="J34" s="1">
        <f t="shared" si="10"/>
        <v>700</v>
      </c>
      <c r="K34" s="1">
        <f t="shared" si="10"/>
        <v>1154.58</v>
      </c>
      <c r="L34" s="1">
        <f t="shared" si="3"/>
        <v>13854.96</v>
      </c>
      <c r="M34" s="1">
        <f>SUM($L$12:L34)</f>
        <v>285389.27999999991</v>
      </c>
      <c r="N34" s="1">
        <f t="shared" si="4"/>
        <v>-27501.921023999981</v>
      </c>
      <c r="P34" s="1">
        <f t="shared" si="11"/>
        <v>454.57999999999993</v>
      </c>
      <c r="Q34" s="1">
        <f t="shared" si="11"/>
        <v>994</v>
      </c>
      <c r="R34" s="1">
        <f t="shared" si="12"/>
        <v>1448.58</v>
      </c>
      <c r="S34" s="1">
        <f t="shared" si="5"/>
        <v>17382.96</v>
      </c>
      <c r="T34" s="1">
        <f>SUM($S$12:S34)</f>
        <v>300987.12</v>
      </c>
      <c r="U34" s="1">
        <f t="shared" si="1"/>
        <v>-43099.761024000065</v>
      </c>
    </row>
    <row r="35" spans="1:21" x14ac:dyDescent="0.25">
      <c r="A35">
        <f t="shared" si="6"/>
        <v>2040</v>
      </c>
      <c r="B35">
        <v>83</v>
      </c>
      <c r="C35" s="1">
        <f t="shared" si="7"/>
        <v>483.70713600000011</v>
      </c>
      <c r="D35" s="1">
        <f t="shared" si="7"/>
        <v>448</v>
      </c>
      <c r="E35" s="1">
        <f t="shared" si="7"/>
        <v>931.70713600000011</v>
      </c>
      <c r="F35" s="1">
        <f t="shared" si="2"/>
        <v>11180.485632000002</v>
      </c>
      <c r="G35" s="1">
        <f>SUM($F$12:F35)</f>
        <v>269067.84460799996</v>
      </c>
      <c r="I35" s="1">
        <f t="shared" si="8"/>
        <v>650.14400000000012</v>
      </c>
      <c r="J35" s="1">
        <f t="shared" si="10"/>
        <v>700</v>
      </c>
      <c r="K35" s="1">
        <f t="shared" si="10"/>
        <v>1154.58</v>
      </c>
      <c r="L35" s="1">
        <f t="shared" si="3"/>
        <v>13854.96</v>
      </c>
      <c r="M35" s="1">
        <f>SUM($L$12:L35)</f>
        <v>299244.23999999993</v>
      </c>
      <c r="N35" s="1">
        <f t="shared" si="4"/>
        <v>-30176.395391999977</v>
      </c>
      <c r="P35" s="1">
        <f t="shared" si="11"/>
        <v>454.57999999999993</v>
      </c>
      <c r="Q35" s="1">
        <f t="shared" si="11"/>
        <v>994</v>
      </c>
      <c r="R35" s="1">
        <f t="shared" si="12"/>
        <v>1448.58</v>
      </c>
      <c r="S35" s="1">
        <f t="shared" si="5"/>
        <v>17382.96</v>
      </c>
      <c r="T35" s="1">
        <f>SUM($S$12:S35)</f>
        <v>318370.08</v>
      </c>
      <c r="U35" s="1">
        <f t="shared" si="1"/>
        <v>-49302.235392000061</v>
      </c>
    </row>
    <row r="36" spans="1:21" x14ac:dyDescent="0.25">
      <c r="A36">
        <f t="shared" si="6"/>
        <v>2041</v>
      </c>
      <c r="B36">
        <v>84</v>
      </c>
      <c r="C36" s="1">
        <f t="shared" si="7"/>
        <v>483.70713600000011</v>
      </c>
      <c r="D36" s="1">
        <f t="shared" si="7"/>
        <v>448</v>
      </c>
      <c r="E36" s="1">
        <f t="shared" si="7"/>
        <v>931.70713600000011</v>
      </c>
      <c r="F36" s="1">
        <f t="shared" si="2"/>
        <v>11180.485632000002</v>
      </c>
      <c r="G36" s="1">
        <f>SUM($F$12:F36)</f>
        <v>280248.33023999998</v>
      </c>
      <c r="I36" s="1">
        <f t="shared" si="8"/>
        <v>650.14400000000012</v>
      </c>
      <c r="J36" s="1">
        <f t="shared" si="10"/>
        <v>700</v>
      </c>
      <c r="K36" s="1">
        <f t="shared" si="10"/>
        <v>1154.58</v>
      </c>
      <c r="L36" s="1">
        <f t="shared" si="3"/>
        <v>13854.96</v>
      </c>
      <c r="M36" s="1">
        <f>SUM($L$12:L36)</f>
        <v>313099.19999999995</v>
      </c>
      <c r="N36" s="1">
        <f t="shared" si="4"/>
        <v>-32850.869759999972</v>
      </c>
      <c r="P36" s="1">
        <f t="shared" si="11"/>
        <v>454.57999999999993</v>
      </c>
      <c r="Q36" s="1">
        <f t="shared" si="11"/>
        <v>994</v>
      </c>
      <c r="R36" s="1">
        <f t="shared" si="12"/>
        <v>1448.58</v>
      </c>
      <c r="S36" s="1">
        <f t="shared" si="5"/>
        <v>17382.96</v>
      </c>
      <c r="T36" s="1">
        <f>SUM($S$12:S36)</f>
        <v>335753.04000000004</v>
      </c>
      <c r="U36" s="1">
        <f t="shared" si="1"/>
        <v>-55504.709760000056</v>
      </c>
    </row>
    <row r="37" spans="1:21" x14ac:dyDescent="0.25">
      <c r="A37">
        <f t="shared" si="6"/>
        <v>2042</v>
      </c>
      <c r="B37">
        <v>85</v>
      </c>
      <c r="C37" s="1">
        <f t="shared" si="7"/>
        <v>483.70713600000011</v>
      </c>
      <c r="D37" s="1">
        <f t="shared" si="7"/>
        <v>448</v>
      </c>
      <c r="E37" s="1">
        <f t="shared" si="7"/>
        <v>931.70713600000011</v>
      </c>
      <c r="F37" s="1">
        <f t="shared" si="2"/>
        <v>11180.485632000002</v>
      </c>
      <c r="G37" s="1">
        <f>SUM($F$12:F37)</f>
        <v>291428.81587200001</v>
      </c>
      <c r="I37" s="1">
        <f t="shared" si="8"/>
        <v>650.14400000000012</v>
      </c>
      <c r="J37" s="1">
        <f t="shared" si="10"/>
        <v>700</v>
      </c>
      <c r="K37" s="1">
        <f t="shared" si="10"/>
        <v>1154.58</v>
      </c>
      <c r="L37" s="1">
        <f t="shared" si="3"/>
        <v>13854.96</v>
      </c>
      <c r="M37" s="1">
        <f>SUM($L$12:L37)</f>
        <v>326954.15999999997</v>
      </c>
      <c r="N37" s="1">
        <f t="shared" si="4"/>
        <v>-35525.344127999968</v>
      </c>
      <c r="P37" s="1">
        <f t="shared" si="11"/>
        <v>454.57999999999993</v>
      </c>
      <c r="Q37" s="1">
        <f t="shared" si="11"/>
        <v>994</v>
      </c>
      <c r="R37" s="1">
        <f t="shared" si="12"/>
        <v>1448.58</v>
      </c>
      <c r="S37" s="1">
        <f t="shared" si="5"/>
        <v>17382.96</v>
      </c>
      <c r="T37" s="1">
        <f>SUM($S$12:S37)</f>
        <v>353136.00000000006</v>
      </c>
      <c r="U37" s="1">
        <f t="shared" si="1"/>
        <v>-61707.184128000052</v>
      </c>
    </row>
    <row r="38" spans="1:21" x14ac:dyDescent="0.25">
      <c r="A38">
        <f t="shared" si="6"/>
        <v>2043</v>
      </c>
      <c r="B38">
        <v>86</v>
      </c>
      <c r="C38" s="1">
        <f t="shared" si="7"/>
        <v>483.70713600000011</v>
      </c>
      <c r="D38" s="1">
        <f t="shared" si="7"/>
        <v>448</v>
      </c>
      <c r="E38" s="1">
        <f t="shared" si="7"/>
        <v>931.70713600000011</v>
      </c>
      <c r="F38" s="1">
        <f t="shared" si="2"/>
        <v>11180.485632000002</v>
      </c>
      <c r="G38" s="1">
        <f>SUM($F$12:F38)</f>
        <v>302609.30150400003</v>
      </c>
      <c r="I38" s="1">
        <f t="shared" si="8"/>
        <v>650.14400000000012</v>
      </c>
      <c r="J38" s="1">
        <f t="shared" si="10"/>
        <v>700</v>
      </c>
      <c r="K38" s="1">
        <f t="shared" si="10"/>
        <v>1154.58</v>
      </c>
      <c r="L38" s="1">
        <f t="shared" si="3"/>
        <v>13854.96</v>
      </c>
      <c r="M38" s="1">
        <f>SUM($L$12:L38)</f>
        <v>340809.12</v>
      </c>
      <c r="N38" s="1">
        <f t="shared" si="4"/>
        <v>-38199.818495999963</v>
      </c>
      <c r="P38" s="1">
        <f t="shared" si="11"/>
        <v>454.57999999999993</v>
      </c>
      <c r="Q38" s="1">
        <f t="shared" si="11"/>
        <v>994</v>
      </c>
      <c r="R38" s="1">
        <f t="shared" si="12"/>
        <v>1448.58</v>
      </c>
      <c r="S38" s="1">
        <f t="shared" si="5"/>
        <v>17382.96</v>
      </c>
      <c r="T38" s="1">
        <f>SUM($S$12:S38)</f>
        <v>370518.96000000008</v>
      </c>
      <c r="U38" s="1">
        <f t="shared" si="1"/>
        <v>-67909.658496000047</v>
      </c>
    </row>
    <row r="39" spans="1:21" x14ac:dyDescent="0.25">
      <c r="A39">
        <f t="shared" si="6"/>
        <v>2044</v>
      </c>
      <c r="B39">
        <v>87</v>
      </c>
      <c r="C39" s="1">
        <f t="shared" si="7"/>
        <v>483.70713600000011</v>
      </c>
      <c r="D39" s="1">
        <f t="shared" si="7"/>
        <v>448</v>
      </c>
      <c r="E39" s="1">
        <f t="shared" si="7"/>
        <v>931.70713600000011</v>
      </c>
      <c r="F39" s="1">
        <f t="shared" si="2"/>
        <v>11180.485632000002</v>
      </c>
      <c r="G39" s="1">
        <f>SUM($F$12:F39)</f>
        <v>313789.78713600006</v>
      </c>
      <c r="I39" s="1">
        <f t="shared" si="8"/>
        <v>650.14400000000012</v>
      </c>
      <c r="J39" s="1">
        <f t="shared" si="10"/>
        <v>700</v>
      </c>
      <c r="K39" s="1">
        <f t="shared" si="10"/>
        <v>1154.58</v>
      </c>
      <c r="L39" s="1">
        <f t="shared" si="3"/>
        <v>13854.96</v>
      </c>
      <c r="M39" s="1">
        <f>SUM($L$12:L39)</f>
        <v>354664.08</v>
      </c>
      <c r="N39" s="1">
        <f t="shared" si="4"/>
        <v>-40874.292863999959</v>
      </c>
      <c r="P39" s="1">
        <f t="shared" si="11"/>
        <v>454.57999999999993</v>
      </c>
      <c r="Q39" s="1">
        <f t="shared" si="11"/>
        <v>994</v>
      </c>
      <c r="R39" s="1">
        <f t="shared" si="12"/>
        <v>1448.58</v>
      </c>
      <c r="S39" s="1">
        <f t="shared" si="5"/>
        <v>17382.96</v>
      </c>
      <c r="T39" s="1">
        <f>SUM($S$12:S39)</f>
        <v>387901.9200000001</v>
      </c>
      <c r="U39" s="1">
        <f t="shared" si="1"/>
        <v>-74112.132864000043</v>
      </c>
    </row>
    <row r="40" spans="1:21" x14ac:dyDescent="0.25">
      <c r="A40">
        <f t="shared" si="6"/>
        <v>2045</v>
      </c>
      <c r="B40">
        <v>88</v>
      </c>
      <c r="C40" s="1">
        <f t="shared" si="7"/>
        <v>483.70713600000011</v>
      </c>
      <c r="D40" s="1">
        <f t="shared" si="7"/>
        <v>448</v>
      </c>
      <c r="E40" s="1">
        <f t="shared" si="7"/>
        <v>931.70713600000011</v>
      </c>
      <c r="F40" s="1">
        <f t="shared" si="2"/>
        <v>11180.485632000002</v>
      </c>
      <c r="G40" s="1">
        <f>SUM($F$12:F40)</f>
        <v>324970.27276800008</v>
      </c>
      <c r="I40" s="1">
        <f t="shared" si="8"/>
        <v>650.14400000000012</v>
      </c>
      <c r="J40" s="1">
        <f t="shared" si="10"/>
        <v>700</v>
      </c>
      <c r="K40" s="1">
        <f t="shared" si="10"/>
        <v>1154.58</v>
      </c>
      <c r="L40" s="1">
        <f t="shared" si="3"/>
        <v>13854.96</v>
      </c>
      <c r="M40" s="1">
        <f>SUM($L$12:L40)</f>
        <v>368519.04000000004</v>
      </c>
      <c r="N40" s="1">
        <f t="shared" si="4"/>
        <v>-43548.767231999955</v>
      </c>
      <c r="P40" s="1">
        <f t="shared" si="11"/>
        <v>454.57999999999993</v>
      </c>
      <c r="Q40" s="1">
        <f t="shared" si="11"/>
        <v>994</v>
      </c>
      <c r="R40" s="1">
        <f t="shared" si="12"/>
        <v>1448.58</v>
      </c>
      <c r="S40" s="1">
        <f t="shared" si="5"/>
        <v>17382.96</v>
      </c>
      <c r="T40" s="1">
        <f>SUM($S$12:S40)</f>
        <v>405284.88000000012</v>
      </c>
      <c r="U40" s="1">
        <f t="shared" si="1"/>
        <v>-80314.607232000038</v>
      </c>
    </row>
    <row r="41" spans="1:21" x14ac:dyDescent="0.25">
      <c r="A41">
        <f t="shared" si="6"/>
        <v>2046</v>
      </c>
      <c r="B41">
        <v>89</v>
      </c>
      <c r="C41" s="1">
        <f t="shared" si="7"/>
        <v>483.70713600000011</v>
      </c>
      <c r="D41" s="1">
        <f t="shared" si="7"/>
        <v>448</v>
      </c>
      <c r="E41" s="1">
        <f t="shared" si="7"/>
        <v>931.70713600000011</v>
      </c>
      <c r="F41" s="1">
        <f t="shared" si="2"/>
        <v>11180.485632000002</v>
      </c>
      <c r="G41" s="1">
        <f>SUM($F$12:F41)</f>
        <v>336150.75840000011</v>
      </c>
      <c r="I41" s="1">
        <f t="shared" si="8"/>
        <v>650.14400000000012</v>
      </c>
      <c r="J41" s="1">
        <f t="shared" si="10"/>
        <v>700</v>
      </c>
      <c r="K41" s="1">
        <f t="shared" si="10"/>
        <v>1154.58</v>
      </c>
      <c r="L41" s="1">
        <f t="shared" si="3"/>
        <v>13854.96</v>
      </c>
      <c r="M41" s="1">
        <f>SUM($L$12:L41)</f>
        <v>382374.00000000006</v>
      </c>
      <c r="N41" s="1">
        <f t="shared" si="4"/>
        <v>-46223.24159999995</v>
      </c>
      <c r="P41" s="1">
        <f t="shared" si="11"/>
        <v>454.57999999999993</v>
      </c>
      <c r="Q41" s="1">
        <f t="shared" si="11"/>
        <v>994</v>
      </c>
      <c r="R41" s="1">
        <f t="shared" si="12"/>
        <v>1448.58</v>
      </c>
      <c r="S41" s="1">
        <f t="shared" si="5"/>
        <v>17382.96</v>
      </c>
      <c r="T41" s="1">
        <f>SUM($S$12:S41)</f>
        <v>422667.84000000014</v>
      </c>
      <c r="U41" s="1">
        <f t="shared" si="1"/>
        <v>-86517.081600000034</v>
      </c>
    </row>
    <row r="42" spans="1:21" x14ac:dyDescent="0.25">
      <c r="A42">
        <f t="shared" si="6"/>
        <v>2047</v>
      </c>
      <c r="B42">
        <v>90</v>
      </c>
      <c r="C42" s="1">
        <f t="shared" si="7"/>
        <v>483.70713600000011</v>
      </c>
      <c r="D42" s="1">
        <f t="shared" si="7"/>
        <v>448</v>
      </c>
      <c r="E42" s="1">
        <f t="shared" si="7"/>
        <v>931.70713600000011</v>
      </c>
      <c r="F42" s="1">
        <f t="shared" si="2"/>
        <v>11180.485632000002</v>
      </c>
      <c r="G42" s="1">
        <f>SUM($F$12:F42)</f>
        <v>347331.24403200013</v>
      </c>
      <c r="I42" s="1">
        <f t="shared" si="8"/>
        <v>650.14400000000012</v>
      </c>
      <c r="J42" s="1">
        <f t="shared" si="10"/>
        <v>700</v>
      </c>
      <c r="K42" s="1">
        <f t="shared" si="10"/>
        <v>1154.58</v>
      </c>
      <c r="L42" s="1">
        <f t="shared" si="3"/>
        <v>13854.96</v>
      </c>
      <c r="M42" s="1">
        <f>SUM($L$12:L42)</f>
        <v>396228.96000000008</v>
      </c>
      <c r="N42" s="1">
        <f t="shared" si="4"/>
        <v>-48897.715967999946</v>
      </c>
      <c r="P42" s="1">
        <f t="shared" si="11"/>
        <v>454.57999999999993</v>
      </c>
      <c r="Q42" s="1">
        <f t="shared" si="11"/>
        <v>994</v>
      </c>
      <c r="R42" s="1">
        <f t="shared" si="12"/>
        <v>1448.58</v>
      </c>
      <c r="S42" s="1">
        <f t="shared" si="5"/>
        <v>17382.96</v>
      </c>
      <c r="T42" s="1">
        <f>SUM($S$12:S42)</f>
        <v>440050.80000000016</v>
      </c>
      <c r="U42" s="1">
        <f t="shared" si="1"/>
        <v>-92719.55596800003</v>
      </c>
    </row>
  </sheetData>
  <sheetProtection sheet="1" objects="1" scenarios="1"/>
  <pageMargins left="0.7" right="0.7" top="0.75" bottom="0.75" header="0.3" footer="0.3"/>
  <pageSetup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D15" sqref="D15"/>
    </sheetView>
  </sheetViews>
  <sheetFormatPr defaultRowHeight="15" x14ac:dyDescent="0.25"/>
  <cols>
    <col min="1" max="1" width="42" customWidth="1"/>
    <col min="2" max="6" width="13.28515625" customWidth="1"/>
  </cols>
  <sheetData>
    <row r="1" spans="1:6" x14ac:dyDescent="0.25">
      <c r="A1" t="s">
        <v>49</v>
      </c>
    </row>
    <row r="3" spans="1:6" x14ac:dyDescent="0.25">
      <c r="A3" t="s">
        <v>46</v>
      </c>
      <c r="B3" s="2" t="s">
        <v>8</v>
      </c>
      <c r="C3" s="2" t="s">
        <v>10</v>
      </c>
      <c r="D3" s="2" t="s">
        <v>14</v>
      </c>
      <c r="E3" s="2" t="s">
        <v>12</v>
      </c>
      <c r="F3" s="2" t="s">
        <v>15</v>
      </c>
    </row>
    <row r="4" spans="1:6" x14ac:dyDescent="0.25">
      <c r="A4" t="s">
        <v>7</v>
      </c>
      <c r="B4" s="2">
        <f>Survivors!$B$11</f>
        <v>1154.58</v>
      </c>
      <c r="C4" s="1">
        <f>Survivors!$B$9</f>
        <v>700</v>
      </c>
      <c r="D4" s="2">
        <f>B4-C4</f>
        <v>454.57999999999993</v>
      </c>
      <c r="E4" s="2">
        <f>Survivors!$C$15</f>
        <v>193.66</v>
      </c>
      <c r="F4" s="2">
        <f>E4+D4</f>
        <v>648.2399999999999</v>
      </c>
    </row>
    <row r="5" spans="1:6" x14ac:dyDescent="0.25">
      <c r="B5" s="2" t="s">
        <v>41</v>
      </c>
      <c r="C5" s="2" t="s">
        <v>42</v>
      </c>
      <c r="D5" s="2" t="s">
        <v>14</v>
      </c>
      <c r="E5" s="2"/>
      <c r="F5" s="2" t="s">
        <v>15</v>
      </c>
    </row>
    <row r="6" spans="1:6" x14ac:dyDescent="0.25">
      <c r="A6" t="s">
        <v>11</v>
      </c>
      <c r="B6" s="2">
        <f>-MIN(0.4*Survivors!$B$9,0.4*Survivors!$B$16)</f>
        <v>-260.05760000000004</v>
      </c>
      <c r="C6" s="2">
        <f>-MIN(0.4*Survivors!$B$9,0.4*Survivors!$D$15)</f>
        <v>-162.53600000000003</v>
      </c>
      <c r="D6" s="2">
        <f>Survivors!$B$16+B6</f>
        <v>390.08640000000008</v>
      </c>
      <c r="E6" s="2"/>
      <c r="F6" s="2">
        <f>Survivors!$B$15+C6</f>
        <v>437.46399999999994</v>
      </c>
    </row>
    <row r="7" spans="1:6" x14ac:dyDescent="0.25">
      <c r="B7" s="2"/>
      <c r="C7" s="2"/>
      <c r="D7" s="2" t="s">
        <v>16</v>
      </c>
      <c r="E7" s="2"/>
      <c r="F7" s="2" t="s">
        <v>15</v>
      </c>
    </row>
    <row r="8" spans="1:6" x14ac:dyDescent="0.25">
      <c r="A8" t="s">
        <v>13</v>
      </c>
      <c r="B8" s="2"/>
      <c r="C8" s="2"/>
      <c r="D8" s="2">
        <f>MIN(D4,D6)</f>
        <v>390.08640000000008</v>
      </c>
      <c r="E8" s="2"/>
      <c r="F8" s="2">
        <f>MIN(F4,F6)</f>
        <v>437.46399999999994</v>
      </c>
    </row>
    <row r="9" spans="1:6" x14ac:dyDescent="0.25">
      <c r="A9" t="s">
        <v>17</v>
      </c>
      <c r="B9" s="2"/>
      <c r="C9" s="2"/>
      <c r="D9" s="2">
        <f>Survivors!$D$5*60*-(Survivors!$B$16-Math!D8)</f>
        <v>93.620736000000008</v>
      </c>
      <c r="E9" s="2"/>
      <c r="F9" s="2">
        <f>Survivors!$D$5*60*-(Survivors!$B$15-Math!F8)</f>
        <v>58.512960000000021</v>
      </c>
    </row>
    <row r="10" spans="1:6" x14ac:dyDescent="0.25">
      <c r="A10" t="s">
        <v>18</v>
      </c>
      <c r="B10" s="2"/>
      <c r="C10" s="2"/>
      <c r="D10" s="2">
        <f>D9+D8</f>
        <v>483.70713600000011</v>
      </c>
      <c r="E10" s="2"/>
      <c r="F10" s="2">
        <f>F9+F8</f>
        <v>495.97695999999996</v>
      </c>
    </row>
    <row r="12" spans="1:6" x14ac:dyDescent="0.25">
      <c r="A12" t="s">
        <v>47</v>
      </c>
      <c r="B12" s="2" t="s">
        <v>8</v>
      </c>
      <c r="C12" s="2" t="s">
        <v>10</v>
      </c>
      <c r="D12" s="2" t="s">
        <v>51</v>
      </c>
      <c r="E12" s="2"/>
      <c r="F12" s="2"/>
    </row>
    <row r="13" spans="1:6" x14ac:dyDescent="0.25">
      <c r="A13" t="s">
        <v>7</v>
      </c>
      <c r="B13" s="2">
        <f>Survivors!$B$11</f>
        <v>1154.58</v>
      </c>
      <c r="C13" s="1">
        <f>Survivors!$B$9</f>
        <v>700</v>
      </c>
      <c r="D13" s="2">
        <f>B13-C13</f>
        <v>454.57999999999993</v>
      </c>
      <c r="E13" s="2"/>
      <c r="F13" s="2"/>
    </row>
    <row r="14" spans="1:6" x14ac:dyDescent="0.25">
      <c r="B14" s="2" t="s">
        <v>50</v>
      </c>
      <c r="C14" s="2"/>
      <c r="D14" s="2" t="s">
        <v>51</v>
      </c>
      <c r="E14" s="2"/>
      <c r="F14" s="2"/>
    </row>
    <row r="15" spans="1:6" x14ac:dyDescent="0.25">
      <c r="A15" t="s">
        <v>11</v>
      </c>
      <c r="B15" s="2">
        <f>-MIN(0.4*Survivors!$B$9,0.4*Survivors!$B$16)</f>
        <v>-260.05760000000004</v>
      </c>
      <c r="C15" s="2"/>
      <c r="D15" s="2">
        <f>Survivors!$B$16-B15</f>
        <v>910.2016000000001</v>
      </c>
      <c r="E15" s="2"/>
      <c r="F15" s="2"/>
    </row>
    <row r="16" spans="1:6" x14ac:dyDescent="0.25">
      <c r="B16" s="2"/>
      <c r="C16" s="2"/>
      <c r="D16" s="2" t="s">
        <v>52</v>
      </c>
      <c r="E16" s="2"/>
      <c r="F16" s="2"/>
    </row>
    <row r="17" spans="1:6" x14ac:dyDescent="0.25">
      <c r="A17" t="s">
        <v>13</v>
      </c>
      <c r="B17" s="2"/>
      <c r="C17" s="2"/>
      <c r="D17" s="2">
        <f>MIN(D13,D15)</f>
        <v>454.57999999999993</v>
      </c>
      <c r="E17" s="2"/>
      <c r="F17" s="2"/>
    </row>
    <row r="18" spans="1:6" x14ac:dyDescent="0.25">
      <c r="A18" t="s">
        <v>17</v>
      </c>
      <c r="B18" s="2"/>
      <c r="C18" s="2"/>
      <c r="D18" s="2">
        <v>0</v>
      </c>
      <c r="E18" s="2"/>
      <c r="F18" s="2"/>
    </row>
    <row r="19" spans="1:6" x14ac:dyDescent="0.25">
      <c r="A19" t="s">
        <v>18</v>
      </c>
      <c r="B19" s="2"/>
      <c r="C19" s="2"/>
      <c r="D19" s="2">
        <f>D18+D17</f>
        <v>454.57999999999993</v>
      </c>
      <c r="E19" s="2"/>
      <c r="F19" s="2"/>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9"/>
  <sheetViews>
    <sheetView tabSelected="1" workbookViewId="0"/>
  </sheetViews>
  <sheetFormatPr defaultRowHeight="15" x14ac:dyDescent="0.25"/>
  <cols>
    <col min="1" max="1" width="88.7109375" customWidth="1"/>
  </cols>
  <sheetData>
    <row r="1" spans="1:1" x14ac:dyDescent="0.25">
      <c r="A1" s="27" t="s">
        <v>78</v>
      </c>
    </row>
    <row r="3" spans="1:1" ht="30" x14ac:dyDescent="0.25">
      <c r="A3" s="28" t="s">
        <v>63</v>
      </c>
    </row>
    <row r="4" spans="1:1" x14ac:dyDescent="0.25">
      <c r="A4" s="29"/>
    </row>
    <row r="5" spans="1:1" ht="60" x14ac:dyDescent="0.25">
      <c r="A5" s="29" t="s">
        <v>82</v>
      </c>
    </row>
    <row r="6" spans="1:1" x14ac:dyDescent="0.25">
      <c r="A6" s="29"/>
    </row>
    <row r="7" spans="1:1" ht="135" x14ac:dyDescent="0.25">
      <c r="A7" s="29" t="s">
        <v>79</v>
      </c>
    </row>
    <row r="8" spans="1:1" x14ac:dyDescent="0.25">
      <c r="A8" s="29"/>
    </row>
    <row r="9" spans="1:1" ht="75" x14ac:dyDescent="0.25">
      <c r="A9" s="29" t="s">
        <v>80</v>
      </c>
    </row>
    <row r="10" spans="1:1" x14ac:dyDescent="0.25">
      <c r="A10" s="29"/>
    </row>
    <row r="11" spans="1:1" ht="90" x14ac:dyDescent="0.25">
      <c r="A11" s="29" t="s">
        <v>83</v>
      </c>
    </row>
    <row r="12" spans="1:1" x14ac:dyDescent="0.25">
      <c r="A12" s="29"/>
    </row>
    <row r="13" spans="1:1" ht="45" x14ac:dyDescent="0.25">
      <c r="A13" s="29" t="s">
        <v>81</v>
      </c>
    </row>
    <row r="14" spans="1:1" x14ac:dyDescent="0.25">
      <c r="A14" s="29"/>
    </row>
    <row r="15" spans="1:1" ht="30" x14ac:dyDescent="0.25">
      <c r="A15" s="29" t="s">
        <v>87</v>
      </c>
    </row>
    <row r="16" spans="1:1" x14ac:dyDescent="0.25">
      <c r="A16" s="29"/>
    </row>
    <row r="17" spans="1:1" ht="45" x14ac:dyDescent="0.25">
      <c r="A17" s="29" t="s">
        <v>86</v>
      </c>
    </row>
    <row r="18" spans="1:1" x14ac:dyDescent="0.25">
      <c r="A18" s="29"/>
    </row>
    <row r="19" spans="1:1" ht="30" x14ac:dyDescent="0.25">
      <c r="A19" s="29" t="s">
        <v>84</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Survivors</vt:lpstr>
      <vt:lpstr>Comparison1</vt:lpstr>
      <vt:lpstr>Comparison2</vt:lpstr>
      <vt:lpstr>Math</vt:lpstr>
      <vt:lpstr>Notes</vt:lpstr>
    </vt:vector>
  </TitlesOfParts>
  <Company>Aspen House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Operator</dc:creator>
  <cp:lastModifiedBy>Alan Madill</cp:lastModifiedBy>
  <cp:lastPrinted>2013-10-15T16:56:31Z</cp:lastPrinted>
  <dcterms:created xsi:type="dcterms:W3CDTF">2013-09-25T22:39:15Z</dcterms:created>
  <dcterms:modified xsi:type="dcterms:W3CDTF">2019-03-17T19:40:06Z</dcterms:modified>
</cp:coreProperties>
</file>